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4\02\P_68_О\"/>
    </mc:Choice>
  </mc:AlternateContent>
  <bookViews>
    <workbookView xWindow="0" yWindow="0" windowWidth="28800" windowHeight="115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7" i="4" l="1"/>
  <c r="L136" i="4"/>
  <c r="K137" i="4"/>
  <c r="K136" i="4"/>
  <c r="J137" i="4" l="1"/>
  <c r="J59" i="4"/>
  <c r="J136" i="4"/>
  <c r="J147" i="4" l="1"/>
  <c r="K107" i="4" l="1"/>
  <c r="J42" i="4"/>
  <c r="K42" i="4"/>
  <c r="L42" i="4"/>
  <c r="I42" i="4"/>
  <c r="J36" i="4"/>
  <c r="K36" i="4"/>
  <c r="L36" i="4"/>
  <c r="I36" i="4"/>
  <c r="L39" i="4"/>
  <c r="K39" i="4"/>
  <c r="J39" i="4"/>
  <c r="I39" i="4"/>
  <c r="J153" i="4" l="1"/>
  <c r="K153" i="4"/>
  <c r="L153" i="4"/>
  <c r="I153" i="4"/>
  <c r="J152" i="4"/>
  <c r="K152" i="4"/>
  <c r="L152" i="4"/>
  <c r="I152" i="4"/>
  <c r="K147" i="4"/>
  <c r="L147" i="4"/>
  <c r="I147" i="4"/>
  <c r="J148" i="4"/>
  <c r="K148" i="4"/>
  <c r="L148" i="4"/>
  <c r="J151" i="4"/>
  <c r="I151" i="4"/>
  <c r="J150" i="4"/>
  <c r="I150" i="4" s="1"/>
  <c r="J149" i="4" l="1"/>
  <c r="I149" i="4" s="1"/>
  <c r="I148" i="4" s="1"/>
  <c r="L140" i="4"/>
  <c r="K140" i="4"/>
  <c r="J140" i="4"/>
  <c r="L139" i="4"/>
  <c r="K139" i="4"/>
  <c r="J139" i="4"/>
  <c r="I139" i="4" s="1"/>
  <c r="L138" i="4"/>
  <c r="K138" i="4"/>
  <c r="J138" i="4"/>
  <c r="J143" i="4"/>
  <c r="J159" i="4" s="1"/>
  <c r="L107" i="4"/>
  <c r="J106" i="4"/>
  <c r="I106" i="4" s="1"/>
  <c r="J98" i="4"/>
  <c r="L94" i="4"/>
  <c r="K94" i="4"/>
  <c r="I94" i="4" s="1"/>
  <c r="J94" i="4"/>
  <c r="J92" i="4" s="1"/>
  <c r="J85" i="4"/>
  <c r="J82" i="4"/>
  <c r="J70" i="4"/>
  <c r="J71" i="4" s="1"/>
  <c r="L70" i="4"/>
  <c r="K70" i="4"/>
  <c r="L68" i="4"/>
  <c r="K68" i="4"/>
  <c r="J68" i="4"/>
  <c r="J69" i="4" s="1"/>
  <c r="J58" i="4"/>
  <c r="K49" i="4"/>
  <c r="L49" i="4"/>
  <c r="J49" i="4"/>
  <c r="J21" i="4"/>
  <c r="J17" i="4"/>
  <c r="I18" i="4"/>
  <c r="J18" i="4"/>
  <c r="I138" i="4" l="1"/>
  <c r="I140" i="4"/>
  <c r="J142" i="4"/>
  <c r="J134" i="4"/>
  <c r="K93" i="4"/>
  <c r="K98" i="4" l="1"/>
  <c r="K92" i="4"/>
  <c r="L128" i="4"/>
  <c r="J125" i="4"/>
  <c r="J128" i="4" s="1"/>
  <c r="K125" i="4"/>
  <c r="K128" i="4" s="1"/>
  <c r="L125" i="4"/>
  <c r="L83" i="4"/>
  <c r="K83" i="4"/>
  <c r="J83" i="4"/>
  <c r="L82" i="4"/>
  <c r="K82" i="4"/>
  <c r="I83" i="4" l="1"/>
  <c r="I95" i="4"/>
  <c r="I125" i="4" l="1"/>
  <c r="K30" i="4"/>
  <c r="K29" i="4"/>
  <c r="L27" i="4"/>
  <c r="L30" i="4" s="1"/>
  <c r="J27" i="4"/>
  <c r="J30" i="4" s="1"/>
  <c r="L26" i="4"/>
  <c r="L29" i="4" s="1"/>
  <c r="J26" i="4"/>
  <c r="J25" i="4" s="1"/>
  <c r="J24" i="4" s="1"/>
  <c r="J28" i="4" s="1"/>
  <c r="L25" i="4"/>
  <c r="L24" i="4" s="1"/>
  <c r="L28" i="4" s="1"/>
  <c r="K25" i="4"/>
  <c r="K24" i="4" s="1"/>
  <c r="K28" i="4" s="1"/>
  <c r="K62" i="4"/>
  <c r="I128" i="4" l="1"/>
  <c r="I26" i="4"/>
  <c r="I27" i="4"/>
  <c r="I30" i="4" s="1"/>
  <c r="I29" i="4"/>
  <c r="J29" i="4"/>
  <c r="I25" i="4" l="1"/>
  <c r="I24" i="4" s="1"/>
  <c r="I28" i="4" s="1"/>
  <c r="L20" i="4"/>
  <c r="L17" i="4"/>
  <c r="K17" i="4"/>
  <c r="K21" i="4" s="1"/>
  <c r="K15" i="4"/>
  <c r="J15" i="4"/>
  <c r="J14" i="4" s="1"/>
  <c r="J13" i="4" s="1"/>
  <c r="K20" i="4" l="1"/>
  <c r="K14" i="4"/>
  <c r="L21" i="4"/>
  <c r="L14" i="4"/>
  <c r="I14" i="4" s="1"/>
  <c r="I82" i="4"/>
  <c r="J20" i="4"/>
  <c r="I17" i="4"/>
  <c r="I21" i="4" s="1"/>
  <c r="K75" i="4"/>
  <c r="L75" i="4"/>
  <c r="J76" i="4"/>
  <c r="K69" i="4"/>
  <c r="K74" i="4" s="1"/>
  <c r="K157" i="4" s="1"/>
  <c r="L73" i="4" l="1"/>
  <c r="L72" i="4" s="1"/>
  <c r="L67" i="4"/>
  <c r="L66" i="4" s="1"/>
  <c r="K71" i="4"/>
  <c r="K76" i="4" s="1"/>
  <c r="J73" i="4"/>
  <c r="J67" i="4"/>
  <c r="J66" i="4" s="1"/>
  <c r="K73" i="4"/>
  <c r="K72" i="4" s="1"/>
  <c r="K67" i="4"/>
  <c r="K66" i="4" s="1"/>
  <c r="J75" i="4"/>
  <c r="L69" i="4"/>
  <c r="L74" i="4" s="1"/>
  <c r="L157" i="4" s="1"/>
  <c r="J74" i="4"/>
  <c r="J157" i="4" s="1"/>
  <c r="L71" i="4"/>
  <c r="L76" i="4" s="1"/>
  <c r="I68" i="4"/>
  <c r="I70" i="4"/>
  <c r="K126" i="4"/>
  <c r="L126" i="4"/>
  <c r="J126" i="4"/>
  <c r="K124" i="4"/>
  <c r="L124" i="4"/>
  <c r="J124" i="4"/>
  <c r="K123" i="4"/>
  <c r="K122" i="4" s="1"/>
  <c r="L123" i="4"/>
  <c r="J123" i="4"/>
  <c r="J122" i="4" s="1"/>
  <c r="K85" i="4"/>
  <c r="L85" i="4"/>
  <c r="L84" i="4"/>
  <c r="K84" i="4"/>
  <c r="J84" i="4"/>
  <c r="J81" i="4" s="1"/>
  <c r="L87" i="4" l="1"/>
  <c r="L122" i="4"/>
  <c r="J87" i="4"/>
  <c r="K87" i="4"/>
  <c r="I85" i="4"/>
  <c r="J129" i="4"/>
  <c r="K129" i="4"/>
  <c r="J121" i="4"/>
  <c r="J127" i="4" s="1"/>
  <c r="L129" i="4"/>
  <c r="I67" i="4"/>
  <c r="I69" i="4"/>
  <c r="I74" i="4" s="1"/>
  <c r="I157" i="4" s="1"/>
  <c r="J72" i="4"/>
  <c r="I75" i="4"/>
  <c r="I71" i="4"/>
  <c r="I76" i="4" s="1"/>
  <c r="I73" i="4"/>
  <c r="I66" i="4"/>
  <c r="L81" i="4"/>
  <c r="K81" i="4"/>
  <c r="I84" i="4"/>
  <c r="I126" i="4"/>
  <c r="J107" i="4"/>
  <c r="K105" i="4"/>
  <c r="L105" i="4"/>
  <c r="J105" i="4"/>
  <c r="J103" i="4" s="1"/>
  <c r="L93" i="4"/>
  <c r="J62" i="4"/>
  <c r="J61" i="4"/>
  <c r="J155" i="4" s="1"/>
  <c r="L59" i="4"/>
  <c r="L62" i="4" s="1"/>
  <c r="L58" i="4"/>
  <c r="L61" i="4" s="1"/>
  <c r="L155" i="4" s="1"/>
  <c r="K61" i="4"/>
  <c r="K155" i="4" s="1"/>
  <c r="I58" i="4"/>
  <c r="I61" i="4" s="1"/>
  <c r="I155" i="4" s="1"/>
  <c r="K57" i="4"/>
  <c r="K56" i="4" s="1"/>
  <c r="K60" i="4" s="1"/>
  <c r="K103" i="4" l="1"/>
  <c r="K109" i="4"/>
  <c r="L98" i="4"/>
  <c r="L92" i="4"/>
  <c r="I92" i="4" s="1"/>
  <c r="L103" i="4"/>
  <c r="L109" i="4"/>
  <c r="J109" i="4"/>
  <c r="I81" i="4"/>
  <c r="I72" i="4"/>
  <c r="I87" i="4"/>
  <c r="I93" i="4"/>
  <c r="I59" i="4"/>
  <c r="I62" i="4" s="1"/>
  <c r="L57" i="4"/>
  <c r="L56" i="4" s="1"/>
  <c r="L60" i="4" s="1"/>
  <c r="J57" i="4"/>
  <c r="J56" i="4" s="1"/>
  <c r="J60" i="4" s="1"/>
  <c r="I57" i="4" l="1"/>
  <c r="I56" i="4" s="1"/>
  <c r="I60" i="4" s="1"/>
  <c r="K48" i="4" l="1"/>
  <c r="K51" i="4" s="1"/>
  <c r="L48" i="4"/>
  <c r="L51" i="4" s="1"/>
  <c r="J48" i="4"/>
  <c r="J51" i="4" s="1"/>
  <c r="K52" i="4"/>
  <c r="L52" i="4"/>
  <c r="J52" i="4"/>
  <c r="K47" i="4" l="1"/>
  <c r="K46" i="4" s="1"/>
  <c r="K50" i="4" s="1"/>
  <c r="I49" i="4"/>
  <c r="I48" i="4"/>
  <c r="I51" i="4" s="1"/>
  <c r="L47" i="4"/>
  <c r="L46" i="4" s="1"/>
  <c r="L50" i="4" s="1"/>
  <c r="J47" i="4"/>
  <c r="J46" i="4" s="1"/>
  <c r="J50" i="4" s="1"/>
  <c r="L38" i="4"/>
  <c r="L158" i="4" s="1"/>
  <c r="L37" i="4"/>
  <c r="K37" i="4"/>
  <c r="J37" i="4"/>
  <c r="J38" i="4"/>
  <c r="K80" i="4"/>
  <c r="K86" i="4" s="1"/>
  <c r="I38" i="4" l="1"/>
  <c r="J158" i="4"/>
  <c r="K41" i="4"/>
  <c r="K156" i="4" s="1"/>
  <c r="K35" i="4"/>
  <c r="J41" i="4"/>
  <c r="J156" i="4" s="1"/>
  <c r="L41" i="4"/>
  <c r="L156" i="4" s="1"/>
  <c r="L35" i="4"/>
  <c r="I52" i="4"/>
  <c r="I47" i="4"/>
  <c r="I46" i="4" s="1"/>
  <c r="I50" i="4" s="1"/>
  <c r="J80" i="4"/>
  <c r="J86" i="4" s="1"/>
  <c r="I37" i="4"/>
  <c r="L80" i="4"/>
  <c r="L86" i="4" s="1"/>
  <c r="L40" i="4" l="1"/>
  <c r="K40" i="4"/>
  <c r="J40" i="4"/>
  <c r="I35" i="4"/>
  <c r="I41" i="4"/>
  <c r="J35" i="4"/>
  <c r="I80" i="4"/>
  <c r="I86" i="4" s="1"/>
  <c r="I40" i="4" l="1"/>
  <c r="L115" i="4"/>
  <c r="K115" i="4"/>
  <c r="J115" i="4"/>
  <c r="L142" i="4" l="1"/>
  <c r="L134" i="4"/>
  <c r="J133" i="4"/>
  <c r="J141" i="4" s="1"/>
  <c r="L143" i="4"/>
  <c r="L159" i="4" s="1"/>
  <c r="I104" i="4"/>
  <c r="J102" i="4" l="1"/>
  <c r="J108" i="4" s="1"/>
  <c r="L133" i="4" l="1"/>
  <c r="L141" i="4" s="1"/>
  <c r="I135" i="4"/>
  <c r="I105" i="4" l="1"/>
  <c r="I107" i="4"/>
  <c r="I96" i="4"/>
  <c r="I98" i="4" s="1"/>
  <c r="I109" i="4" l="1"/>
  <c r="I103" i="4"/>
  <c r="I124" i="4"/>
  <c r="I123" i="4"/>
  <c r="I115" i="4"/>
  <c r="I122" i="4" l="1"/>
  <c r="I129" i="4"/>
  <c r="I117" i="4"/>
  <c r="I114" i="4"/>
  <c r="I15" i="4"/>
  <c r="I20" i="4" s="1"/>
  <c r="I156" i="4" s="1"/>
  <c r="I13" i="4"/>
  <c r="I19" i="4" l="1"/>
  <c r="I91" i="4" l="1"/>
  <c r="I97" i="4" s="1"/>
  <c r="K121" i="4" l="1"/>
  <c r="K127" i="4" s="1"/>
  <c r="L121" i="4"/>
  <c r="L127" i="4" s="1"/>
  <c r="I121" i="4"/>
  <c r="I127" i="4" s="1"/>
  <c r="J117" i="4"/>
  <c r="K117" i="4"/>
  <c r="L117" i="4"/>
  <c r="J114" i="4"/>
  <c r="J113" i="4" s="1"/>
  <c r="J116" i="4" s="1"/>
  <c r="K114" i="4"/>
  <c r="K113" i="4" s="1"/>
  <c r="K116" i="4" s="1"/>
  <c r="L114" i="4"/>
  <c r="L113" i="4" s="1"/>
  <c r="L116" i="4" s="1"/>
  <c r="I113" i="4"/>
  <c r="I116" i="4" s="1"/>
  <c r="K102" i="4"/>
  <c r="K108" i="4" s="1"/>
  <c r="L102" i="4"/>
  <c r="L108" i="4" s="1"/>
  <c r="I102" i="4"/>
  <c r="I108" i="4" s="1"/>
  <c r="J91" i="4"/>
  <c r="J97" i="4" s="1"/>
  <c r="K91" i="4"/>
  <c r="K97" i="4" s="1"/>
  <c r="L91" i="4"/>
  <c r="L97" i="4" s="1"/>
  <c r="K13" i="4"/>
  <c r="K19" i="4" s="1"/>
  <c r="L13" i="4"/>
  <c r="L19" i="4" s="1"/>
  <c r="L154" i="4" l="1"/>
  <c r="J154" i="4"/>
  <c r="J19" i="4"/>
  <c r="K134" i="4"/>
  <c r="K133" i="4" s="1"/>
  <c r="K141" i="4" s="1"/>
  <c r="I142" i="4"/>
  <c r="I158" i="4" s="1"/>
  <c r="I154" i="4" s="1"/>
  <c r="I136" i="4"/>
  <c r="I134" i="4"/>
  <c r="I133" i="4" s="1"/>
  <c r="I141" i="4" s="1"/>
  <c r="K143" i="4"/>
  <c r="K159" i="4" s="1"/>
  <c r="K142" i="4"/>
  <c r="K158" i="4"/>
  <c r="K154" i="4" s="1"/>
  <c r="I137" i="4" l="1"/>
  <c r="I143" i="4" s="1"/>
  <c r="I159" i="4" s="1"/>
</calcChain>
</file>

<file path=xl/sharedStrings.xml><?xml version="1.0" encoding="utf-8"?>
<sst xmlns="http://schemas.openxmlformats.org/spreadsheetml/2006/main" count="467" uniqueCount="228">
  <si>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</si>
  <si>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</si>
  <si>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</si>
  <si>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</si>
  <si>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</si>
  <si>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</si>
  <si>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</si>
  <si>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</si>
  <si>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</si>
  <si>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</si>
  <si>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</si>
  <si>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</si>
  <si>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</si>
  <si>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2024 год</t>
  </si>
  <si>
    <t>0502</t>
  </si>
  <si>
    <t>000</t>
  </si>
  <si>
    <t>Всего: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</si>
  <si>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</si>
  <si>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</si>
  <si>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</si>
  <si>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</si>
  <si>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</si>
  <si>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</si>
  <si>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</si>
  <si>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</si>
  <si>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</si>
  <si>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</si>
  <si>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</si>
  <si>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</si>
  <si>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</si>
  <si>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</si>
  <si>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</si>
  <si>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</si>
  <si>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</si>
  <si>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</si>
  <si>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</si>
  <si>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</si>
  <si>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</si>
  <si>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</si>
  <si>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</si>
  <si>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</si>
  <si>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</si>
  <si>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</si>
  <si>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</si>
  <si>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</si>
  <si>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</si>
  <si>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</si>
  <si>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</si>
  <si>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</si>
  <si>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</si>
  <si>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</si>
  <si>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</si>
  <si>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</si>
  <si>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</si>
  <si>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</si>
  <si>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</si>
  <si>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</si>
  <si>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</si>
  <si>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</si>
  <si>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</si>
  <si>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</si>
  <si>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</si>
  <si>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 xml:space="preserve">Региональные проекты, не входящие в состав национальных проектов 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</si>
  <si>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</si>
  <si>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</si>
  <si>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</si>
  <si>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</si>
  <si>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</si>
  <si>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</si>
  <si>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</si>
  <si>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</si>
  <si>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</si>
  <si>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</si>
  <si>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</si>
  <si>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</si>
  <si>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</si>
  <si>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</si>
  <si>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</si>
  <si>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</si>
  <si>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</si>
  <si>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Управление ЖКХ администрации округа Муром, МКУ "Муромстройзаказчик"</t>
  </si>
  <si>
    <t>Итого по направлению (подпрограмме) 2:</t>
  </si>
  <si>
    <t>2025 год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</si>
  <si>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</si>
  <si>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</si>
  <si>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6.1.1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</si>
  <si>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</si>
  <si>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</si>
  <si>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</si>
  <si>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</si>
  <si>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</si>
  <si>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</si>
  <si>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</si>
  <si>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4.1.1</t>
  </si>
  <si>
    <t>5.1</t>
  </si>
  <si>
    <t>5.1.1</t>
  </si>
  <si>
    <t>6.1</t>
  </si>
  <si>
    <t>8.1.2</t>
  </si>
  <si>
    <t>Итого по направлению (подпрограмме) 3:</t>
  </si>
  <si>
    <t>Итого по направлению (подпрограмме) 6:</t>
  </si>
  <si>
    <t>Комплекс процессных мероприятий "Совершенствование организации движения транспорта и пешеходов на территории округа"</t>
  </si>
  <si>
    <t>611</t>
  </si>
  <si>
    <t>732</t>
  </si>
  <si>
    <t>Региональный проект "Энергосбережение и повышение энергетической эффективносьти в энергетическом комплексе области"</t>
  </si>
  <si>
    <t>01 2 03 00000</t>
  </si>
  <si>
    <t>3.1.1</t>
  </si>
  <si>
    <t>Замена устаревших светильников на новые энергоэффективные, монтаж самонесущих изолированных проводов</t>
  </si>
  <si>
    <t>01 2 03 70130</t>
  </si>
  <si>
    <t>01 2 03 S0130</t>
  </si>
  <si>
    <t>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</si>
  <si>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Создание новых и приведение в нормативное состояние существующих мест (площадок) для накопления твердых коммунальных отходов</t>
  </si>
  <si>
    <t>01 2 06 00000</t>
  </si>
  <si>
    <t>01 2 06 72160</t>
  </si>
  <si>
    <t>01 2 06 S2160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</si>
  <si>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</si>
  <si>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</si>
  <si>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</si>
  <si>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</si>
  <si>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</si>
  <si>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 2 04 L2990</t>
  </si>
  <si>
    <t>Итого по направлению (подпрограмме) 5:</t>
  </si>
  <si>
    <t>Региональный проект "Благоустройство дворовых и прилегающих территорий муниципальных образований"</t>
  </si>
  <si>
    <t>Выполнение мероприятий по благоустройству дворовых и прилегающих территорий</t>
  </si>
  <si>
    <t>01 2 08 72640</t>
  </si>
  <si>
    <t>01 2 08 S2640</t>
  </si>
  <si>
    <t>01 4 08 70150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</si>
  <si>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</si>
  <si>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S0150</t>
  </si>
  <si>
    <t>Региональный проект   "Содействие развитию автомобильных дорог общего пользования местного значения"</t>
  </si>
  <si>
    <t>01 2 01 00000</t>
  </si>
  <si>
    <t>Осуществление  дорожной деятельности в отношении автомобильных дорог общего пользования местного значения</t>
  </si>
  <si>
    <t>01 2 01 72460</t>
  </si>
  <si>
    <t>01 2 01 S2460</t>
  </si>
  <si>
    <t>00</t>
  </si>
  <si>
    <t>1.1</t>
  </si>
  <si>
    <t>1.1.1</t>
  </si>
  <si>
    <t>3.1</t>
  </si>
  <si>
    <t>Цель 3: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условий.</t>
  </si>
  <si>
    <t>Направление (подпрограмма) 1 "Обеспечение поддержки многодетных семей".</t>
  </si>
  <si>
    <t>Задача 1: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услуг.</t>
  </si>
  <si>
    <t>Цель1: Обеспечение комфортных условий проживания, повышение качества и условий жизни населения на территории округа Муром.</t>
  </si>
  <si>
    <t>4.1</t>
  </si>
  <si>
    <t>Итого по направлению (подпрограмме) 4:</t>
  </si>
  <si>
    <t>Направление (подпрограмма) 2: "Благоустройство дворовых и прилегающих территорий муниципальных образований"</t>
  </si>
  <si>
    <t>Задача 4: Экономия поставляемого ресурса в результате проведения энергосберегающих мероприятий.</t>
  </si>
  <si>
    <t>Задача 5: Повышение качества освещенности улиц города, с целью обеспечения общественной безопасности и безопасности дорожного движения.</t>
  </si>
  <si>
    <t>Цель 2: Координация мероприятий по энергосбережению и повышению энергетической эффективности</t>
  </si>
  <si>
    <t>Направление (подпрограмма) 3 "Энергосбережение и повышение энергетической эффективности в энергетическом комплексе области".</t>
  </si>
  <si>
    <t xml:space="preserve">Задача 6:  Улучшение экологической обстановки в сфере обращения с отходами производства и потребления. </t>
  </si>
  <si>
    <t>Направление (подпрограмма) 4: "Обеспечение оказания государственной поддержки проектам, направленным на оздоровление окружающей среды и в сфере обращения с отходами".</t>
  </si>
  <si>
    <t>Задача 7: Обустройство мест захоронения останков погибших при защите Отечества.</t>
  </si>
  <si>
    <t>Задача 8: Сохранение и улучшение транспортноэксплуатационных и потребительских характеристик сети автомобильных дорог округа.
Задача 9: Сохранение и развитие сети автомобильных дорог общего пользования местного значения.</t>
  </si>
  <si>
    <t>Направление (подпрограмма)  6: "Содействие развитию автомобильных дорог общего пользования местного значения"</t>
  </si>
  <si>
    <t>Цель 6: Создание оптимальных условий для эффективной реализации муниципальной программы</t>
  </si>
  <si>
    <t>Направление (подпрограмма) 7 "Создание условий для реализации муниципальной программы"</t>
  </si>
  <si>
    <t>7.1.</t>
  </si>
  <si>
    <t>7.1.1.</t>
  </si>
  <si>
    <t>Итого по направлению (подпрограмме) 7:</t>
  </si>
  <si>
    <t>Цель 7: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</si>
  <si>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Направление (подпрограмма) 8 "Обеспечение мероприятий по благоустройству и озеленению территории округа"</t>
  </si>
  <si>
    <t>8.1.</t>
  </si>
  <si>
    <t>Итого по направлению (подпрограмме) 8 :</t>
  </si>
  <si>
    <t>Цель 8: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</si>
  <si>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Направление (подпрограмма) 9 "Техническое обслуживание и энергоснабжение сетей уличного освещения округа"</t>
  </si>
  <si>
    <t>9.1</t>
  </si>
  <si>
    <t>9.1.1</t>
  </si>
  <si>
    <t>9.1.2.</t>
  </si>
  <si>
    <t>Итого по направлению (подпрограмме) 9 :</t>
  </si>
  <si>
    <t>Направление(подпрограмма) 10 "Разработка комплексных схем инженерного обеспечения округа Муром"</t>
  </si>
  <si>
    <t>10.1</t>
  </si>
  <si>
    <t>10.1.1</t>
  </si>
  <si>
    <t>Итого по направлению (подпрограмме) 10:</t>
  </si>
  <si>
    <t>11.1</t>
  </si>
  <si>
    <t>11.1.1</t>
  </si>
  <si>
    <t>11.1.2</t>
  </si>
  <si>
    <t>11.1.3</t>
  </si>
  <si>
    <t>Итого по направлению (подпрограмме) 11 :</t>
  </si>
  <si>
    <t>Направление (подпрограмма) 12 "Совершенствование организации движения транспорта и пешеходов на территории округа"</t>
  </si>
  <si>
    <t>12.1</t>
  </si>
  <si>
    <t>12.1.1</t>
  </si>
  <si>
    <t>12.1.2</t>
  </si>
  <si>
    <t>Итого по направлению (подпрограмме) 12:</t>
  </si>
  <si>
    <t>7.1.3.</t>
  </si>
  <si>
    <t xml:space="preserve">Управление ЖКХ  </t>
  </si>
  <si>
    <t>Цель 4: Воспитание гражданина, любящего свою Родину и семью, имеющего активную жизненную позицию и ответственного за судьбу страны, и повышение уровня консолидации общества путем развития системы патриотического воспитания граждан.</t>
  </si>
  <si>
    <t xml:space="preserve">Цель 5: Обеспечение сохранности существующей сети автомобильных дорог общего пользования местного значения, а также развитие сети автодорог общего пользования в соответствии с потребностями экономики и населения округа Муром.
</t>
  </si>
  <si>
    <t>Цель 9: Обеспечение населения округа Муром коммунальными ресурсами.</t>
  </si>
  <si>
    <t>Цель 11: Повышение безопасности дорожного движения на территории округа Муром</t>
  </si>
  <si>
    <t>Задача 2: Кардинальное повышение комфортности городской среды, повышение индекса качества городской среды, а также создание механизма прямого участия в формировании комфортной городской среды, увеличение доли граждан, принимающих участие в решении вопросов развития городской среды.
Задача 3: Обеспечение проведения мероприятий по благоустройству территорий и вовлечению заинтересованных граждан и организаций в их реализацию.</t>
  </si>
  <si>
    <t>Задача  10: Выполнение функций органами местного самоуправления и казенными учреждениями.</t>
  </si>
  <si>
    <t xml:space="preserve">          Задача 11: Организация озеленения и благоустройства территории. 
3адача 12: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</si>
  <si>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13: Организация уличного освещения.
Задача 14: Поддержание технического состояния сетей уличного освещения.</t>
  </si>
  <si>
    <t>Задача 15: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обеспечения.</t>
  </si>
  <si>
    <t>Задача 16: Создание условий для реализации мер социальной поддержки отдельных категорий граждан по проезду на общественном транспорте.</t>
  </si>
  <si>
    <t>Цель 10: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перевозок.</t>
  </si>
  <si>
    <t xml:space="preserve">Задача 17: Обеспечение безопасности дорожного движения.
Задача 18: Совершенствование организации движения транспорта и пешеходов.
 Задача 19: Обеспечение сохранности сети автомобильных дорог общего пользования местного значения.
  Задача 20: Повышение технического уровня существующих автомобильных дорог общего пользования местного значения, увеличение их пропускной способности.                                                                                                                                                                   </t>
  </si>
  <si>
    <t>В том числе на реализацию инициативных проектов граждан</t>
  </si>
  <si>
    <t>01 2 08 00000</t>
  </si>
  <si>
    <t>7.1.2.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</si>
  <si>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</si>
  <si>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Итого по направлению (подпрограмме) 1:</t>
  </si>
  <si>
    <t>2026 год</t>
  </si>
  <si>
    <t>612</t>
  </si>
  <si>
    <t>853</t>
  </si>
  <si>
    <t>12.1.3</t>
  </si>
  <si>
    <t>Исполнение судебных актов</t>
  </si>
  <si>
    <t>01 4 09 10040</t>
  </si>
  <si>
    <t>Цель 12: Обеспечение населения округа качественной питьевой водой из систем централизованного водоснабжения.</t>
  </si>
  <si>
    <t>Задача: 21: Повышение качества питьевой воды посредством модернизации систем водоснабжения с использованием перспективных технологий.</t>
  </si>
  <si>
    <t>Направление (подпрограмма) 11 "Обеспечение доступности общественного транспорта для различных категорий граждан на территории округа"</t>
  </si>
  <si>
    <t>13.1</t>
  </si>
  <si>
    <t>Комплекс процессных мероприятий</t>
  </si>
  <si>
    <t>01 4 04 40010</t>
  </si>
  <si>
    <t>414</t>
  </si>
  <si>
    <t>13.1.1</t>
  </si>
  <si>
    <t>13.1.2</t>
  </si>
  <si>
    <t>Итого по направлению (подпрограмме) 13:</t>
  </si>
  <si>
    <t>Заместитель Главы администрации округа Муром, начальник Управления ЖКХ</t>
  </si>
  <si>
    <t>О.А. Круглов</t>
  </si>
  <si>
    <t>3.1.2</t>
  </si>
  <si>
    <t>Замена устаревших светильников и монтаж СИП</t>
  </si>
  <si>
    <t>01 2 03 10770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</si>
  <si>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</si>
  <si>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 xml:space="preserve">Направление (подпрограмма) 13 "Строительство реконструкция и техническое перевооружение объектов водоснабжения и водоотведения" </t>
  </si>
  <si>
    <t>Сети водоснабжения по Карачаровскому шоссе г. Мурома</t>
  </si>
  <si>
    <t>Управление ЖКХ администрации округа Муром</t>
  </si>
  <si>
    <t xml:space="preserve">Строительство водопровода d 300 мм по Радиозаводскому шоссе со строительством станции повышения давления от ул. Куйбышева до ул. Орловской г. Мурома </t>
  </si>
  <si>
    <t>01 2 02 70050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</si>
</sst>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#,##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165" fontId="1" fillId="0" borderId="0" xfId="0" applyNumberFormat="1" applyFont="1" applyFill="1" applyAlignment="1">
      <alignment wrapText="1" shrinkToFi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5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4" fillId="0" borderId="0" xfId="0" applyNumberFormat="1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4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5" fontId="5" fillId="0" borderId="0" xfId="0" applyNumberFormat="1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166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top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5" xfId="0" applyNumberFormat="1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 wrapText="1" shrinkToFit="1"/>
    </xf>
    <xf numFmtId="49" fontId="1" fillId="2" borderId="7" xfId="0" applyNumberFormat="1" applyFont="1" applyFill="1" applyBorder="1" applyAlignment="1">
      <alignment horizontal="center" vertical="center" wrapText="1" shrinkToFit="1"/>
    </xf>
    <xf numFmtId="49" fontId="1" fillId="2" borderId="8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center" vertical="center" wrapText="1" shrinkToFit="1"/>
    </xf>
    <xf numFmtId="49" fontId="1" fillId="2" borderId="9" xfId="0" applyNumberFormat="1" applyFont="1" applyFill="1" applyBorder="1" applyAlignment="1">
      <alignment horizontal="center" vertical="center" wrapText="1" shrinkToFit="1"/>
    </xf>
    <xf numFmtId="49" fontId="1" fillId="2" borderId="13" xfId="0" applyNumberFormat="1" applyFont="1" applyFill="1" applyBorder="1" applyAlignment="1">
      <alignment horizontal="center" vertical="center" wrapText="1" shrinkToFit="1"/>
    </xf>
    <xf numFmtId="49" fontId="1" fillId="2" borderId="14" xfId="0" applyNumberFormat="1" applyFont="1" applyFill="1" applyBorder="1" applyAlignment="1">
      <alignment horizontal="center" vertical="center" wrapText="1" shrinkToFit="1"/>
    </xf>
    <xf numFmtId="49" fontId="1" fillId="2" borderId="1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1" fillId="0" borderId="0" xfId="0" applyFont="1" applyFill="1" applyAlignment="1">
      <alignment wrapText="1" shrinkToFit="1"/>
    </xf>
    <xf numFmtId="165" fontId="1" fillId="0" borderId="0" xfId="0" applyNumberFormat="1" applyFont="1" applyFill="1" applyAlignment="1">
      <alignment horizontal="center" wrapText="1" shrinkToFi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49" fontId="1" fillId="0" borderId="7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49" fontId="1" fillId="0" borderId="14" xfId="0" applyNumberFormat="1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12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56"/>
      <c r="C14" s="56"/>
      <c r="D14" s="56"/>
      <c r="E14" s="56"/>
      <c r="F14" s="56"/>
      <c r="G14" s="56"/>
      <c r="H14" s="56"/>
      <c r="I14" s="56"/>
      <c r="J14" s="56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tabSelected="1" zoomScale="95" zoomScaleNormal="100" workbookViewId="0">
      <selection activeCell="I27" sqref="I27"/>
    </sheetView>
  </sheetViews>
  <sheetFormatPr defaultColWidth="9.140625" defaultRowHeight="15" x14ac:dyDescent="0.25"/>
  <cols>
    <col min="1" max="1" width="9.85546875" style="7" customWidth="1"/>
    <col min="2" max="2" width="35.85546875" style="6" customWidth="1"/>
    <col min="3" max="3" width="17.5703125" style="7" customWidth="1"/>
    <col min="4" max="4" width="7.85546875" style="7" customWidth="1"/>
    <col min="5" max="5" width="6.5703125" style="7" customWidth="1"/>
    <col min="6" max="6" width="15.42578125" style="7" customWidth="1"/>
    <col min="7" max="7" width="8.28515625" style="7" customWidth="1"/>
    <col min="8" max="8" width="15.42578125" style="7" customWidth="1"/>
    <col min="9" max="9" width="23.140625" style="4" customWidth="1"/>
    <col min="10" max="10" width="21.140625" style="4" customWidth="1"/>
    <col min="11" max="11" width="16.28515625" style="4" customWidth="1"/>
    <col min="12" max="12" width="15.5703125" style="4" customWidth="1"/>
    <col min="13" max="13" width="17" style="7" customWidth="1"/>
    <col min="14" max="14" width="12.42578125" style="7" bestFit="1" customWidth="1"/>
    <col min="15" max="16384" width="9.140625" style="7"/>
  </cols>
  <sheetData>
    <row r="1" spans="1:13" s="1" customFormat="1" x14ac:dyDescent="0.25">
      <c r="A1" s="2"/>
      <c r="B1" s="2"/>
      <c r="C1" s="2"/>
      <c r="D1" s="2"/>
      <c r="E1" s="2"/>
      <c r="F1" s="2"/>
      <c r="G1" s="2"/>
      <c r="H1" s="68"/>
      <c r="I1" s="68"/>
      <c r="J1" s="68"/>
      <c r="K1" s="68"/>
      <c r="L1" s="68"/>
    </row>
    <row r="2" spans="1:13" s="1" customFormat="1" x14ac:dyDescent="0.25">
      <c r="A2" s="2"/>
      <c r="B2" s="2"/>
      <c r="C2" s="2"/>
      <c r="D2" s="2"/>
      <c r="E2" s="2"/>
      <c r="F2" s="2"/>
      <c r="G2" s="2"/>
      <c r="H2" s="68"/>
      <c r="I2" s="68"/>
      <c r="J2" s="68"/>
      <c r="K2" s="68"/>
      <c r="L2" s="68"/>
    </row>
    <row r="3" spans="1:13" s="1" customFormat="1" x14ac:dyDescent="0.25">
      <c r="A3" s="2"/>
      <c r="B3" s="2"/>
      <c r="C3" s="2"/>
      <c r="D3" s="2"/>
      <c r="E3" s="2"/>
      <c r="F3" s="2"/>
      <c r="G3" s="2"/>
      <c r="H3" s="68"/>
      <c r="I3" s="68"/>
      <c r="J3" s="68"/>
      <c r="K3" s="68"/>
      <c r="L3" s="68"/>
    </row>
    <row r="4" spans="1:13" s="1" customFormat="1" ht="18" customHeight="1" x14ac:dyDescent="0.25">
      <c r="A4" s="2"/>
      <c r="B4" s="2"/>
      <c r="C4" s="2"/>
      <c r="D4" s="2"/>
      <c r="E4" s="2"/>
      <c r="F4" s="2"/>
      <c r="G4" s="2"/>
      <c r="H4" s="68"/>
      <c r="I4" s="68"/>
      <c r="J4" s="68"/>
      <c r="K4" s="68"/>
      <c r="L4" s="68"/>
    </row>
    <row r="5" spans="1:13" s="1" customFormat="1" x14ac:dyDescent="0.25">
      <c r="A5" s="85" t="s">
        <v>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3" s="2" customFormat="1" ht="45" customHeight="1" x14ac:dyDescent="0.25">
      <c r="A6" s="63" t="s">
        <v>1</v>
      </c>
      <c r="B6" s="63" t="s">
        <v>2</v>
      </c>
      <c r="C6" s="63" t="s">
        <v>3</v>
      </c>
      <c r="D6" s="63" t="s">
        <v>4</v>
      </c>
      <c r="E6" s="63"/>
      <c r="F6" s="63"/>
      <c r="G6" s="63"/>
      <c r="H6" s="63" t="s">
        <v>9</v>
      </c>
      <c r="I6" s="65" t="s">
        <v>10</v>
      </c>
      <c r="J6" s="65"/>
      <c r="K6" s="65"/>
      <c r="L6" s="65"/>
    </row>
    <row r="7" spans="1:13" s="1" customFormat="1" x14ac:dyDescent="0.25">
      <c r="A7" s="63"/>
      <c r="B7" s="63"/>
      <c r="C7" s="63"/>
      <c r="D7" s="63" t="s">
        <v>5</v>
      </c>
      <c r="E7" s="63" t="s">
        <v>6</v>
      </c>
      <c r="F7" s="63" t="s">
        <v>7</v>
      </c>
      <c r="G7" s="63" t="s">
        <v>8</v>
      </c>
      <c r="H7" s="63"/>
      <c r="I7" s="65" t="s">
        <v>11</v>
      </c>
      <c r="J7" s="65" t="s">
        <v>12</v>
      </c>
      <c r="K7" s="65"/>
      <c r="L7" s="65"/>
    </row>
    <row r="8" spans="1:13" s="1" customFormat="1" x14ac:dyDescent="0.25">
      <c r="A8" s="63"/>
      <c r="B8" s="63"/>
      <c r="C8" s="63"/>
      <c r="D8" s="63"/>
      <c r="E8" s="63"/>
      <c r="F8" s="63"/>
      <c r="G8" s="63"/>
      <c r="H8" s="63"/>
      <c r="I8" s="65"/>
      <c r="J8" s="53" t="s">
        <v>13</v>
      </c>
      <c r="K8" s="53" t="s">
        <v>82</v>
      </c>
      <c r="L8" s="53" t="s">
        <v>201</v>
      </c>
    </row>
    <row r="9" spans="1:13" s="2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3" s="5" customFormat="1" ht="32.25" customHeight="1" x14ac:dyDescent="0.25">
      <c r="A10" s="62" t="s">
        <v>140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4"/>
    </row>
    <row r="11" spans="1:13" s="5" customFormat="1" ht="51.75" customHeight="1" x14ac:dyDescent="0.25">
      <c r="A11" s="62" t="s">
        <v>139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4"/>
    </row>
    <row r="12" spans="1:13" s="5" customFormat="1" ht="30" customHeight="1" x14ac:dyDescent="0.25">
      <c r="A12" s="62" t="s">
        <v>138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4"/>
    </row>
    <row r="13" spans="1:13" ht="30" x14ac:dyDescent="0.25">
      <c r="A13" s="62" t="s">
        <v>134</v>
      </c>
      <c r="B13" s="21" t="s">
        <v>62</v>
      </c>
      <c r="C13" s="21"/>
      <c r="D13" s="21">
        <v>732</v>
      </c>
      <c r="E13" s="12" t="s">
        <v>22</v>
      </c>
      <c r="F13" s="21" t="s">
        <v>63</v>
      </c>
      <c r="G13" s="12" t="s">
        <v>15</v>
      </c>
      <c r="H13" s="21" t="s">
        <v>16</v>
      </c>
      <c r="I13" s="22">
        <f>I14</f>
        <v>55317.186799999996</v>
      </c>
      <c r="J13" s="22">
        <f>J14</f>
        <v>26717.186799999999</v>
      </c>
      <c r="K13" s="22">
        <f>K14</f>
        <v>28600</v>
      </c>
      <c r="L13" s="22">
        <f>L14</f>
        <v>0</v>
      </c>
      <c r="M13" s="4"/>
    </row>
    <row r="14" spans="1:13" ht="94.5" customHeight="1" x14ac:dyDescent="0.25">
      <c r="A14" s="62"/>
      <c r="B14" s="21" t="s">
        <v>64</v>
      </c>
      <c r="C14" s="21" t="s">
        <v>80</v>
      </c>
      <c r="D14" s="54">
        <v>732</v>
      </c>
      <c r="E14" s="55" t="s">
        <v>22</v>
      </c>
      <c r="F14" s="54" t="s">
        <v>21</v>
      </c>
      <c r="G14" s="55" t="s">
        <v>15</v>
      </c>
      <c r="H14" s="54" t="s">
        <v>16</v>
      </c>
      <c r="I14" s="22">
        <f>SUM(J14:L14)</f>
        <v>55317.186799999996</v>
      </c>
      <c r="J14" s="22">
        <f>J15+J17+J18</f>
        <v>26717.186799999999</v>
      </c>
      <c r="K14" s="42">
        <f>K15+K17+K18</f>
        <v>28600</v>
      </c>
      <c r="L14" s="42">
        <f t="shared" ref="L14" si="0">L15+L17+L18</f>
        <v>0</v>
      </c>
      <c r="M14" s="4"/>
    </row>
    <row r="15" spans="1:13" ht="39" customHeight="1" x14ac:dyDescent="0.25">
      <c r="A15" s="60" t="s">
        <v>135</v>
      </c>
      <c r="B15" s="58" t="s">
        <v>83</v>
      </c>
      <c r="C15" s="58"/>
      <c r="D15" s="63">
        <v>732</v>
      </c>
      <c r="E15" s="62" t="s">
        <v>14</v>
      </c>
      <c r="F15" s="63" t="s">
        <v>227</v>
      </c>
      <c r="G15" s="63">
        <v>414</v>
      </c>
      <c r="H15" s="63" t="s">
        <v>18</v>
      </c>
      <c r="I15" s="65">
        <f>SUM(J15:L16)</f>
        <v>47850</v>
      </c>
      <c r="J15" s="65">
        <f>22968</f>
        <v>22968</v>
      </c>
      <c r="K15" s="65">
        <f>24882</f>
        <v>24882</v>
      </c>
      <c r="L15" s="65">
        <v>0</v>
      </c>
      <c r="M15" s="4"/>
    </row>
    <row r="16" spans="1:13" ht="27.75" customHeight="1" x14ac:dyDescent="0.25">
      <c r="A16" s="67"/>
      <c r="B16" s="66"/>
      <c r="C16" s="66"/>
      <c r="D16" s="63"/>
      <c r="E16" s="62"/>
      <c r="F16" s="63"/>
      <c r="G16" s="63"/>
      <c r="H16" s="63"/>
      <c r="I16" s="65"/>
      <c r="J16" s="65"/>
      <c r="K16" s="65"/>
      <c r="L16" s="65"/>
      <c r="M16" s="4"/>
    </row>
    <row r="17" spans="1:14" s="18" customFormat="1" ht="73.5" customHeight="1" x14ac:dyDescent="0.25">
      <c r="A17" s="67"/>
      <c r="B17" s="66"/>
      <c r="C17" s="66"/>
      <c r="D17" s="63">
        <v>732</v>
      </c>
      <c r="E17" s="62" t="s">
        <v>14</v>
      </c>
      <c r="F17" s="63" t="s">
        <v>23</v>
      </c>
      <c r="G17" s="54">
        <v>414</v>
      </c>
      <c r="H17" s="54" t="s">
        <v>19</v>
      </c>
      <c r="I17" s="22">
        <f>SUM(J17:L17)</f>
        <v>7467.1157999999996</v>
      </c>
      <c r="J17" s="22">
        <f>3432+317.1158</f>
        <v>3749.1158</v>
      </c>
      <c r="K17" s="22">
        <f>3718</f>
        <v>3718</v>
      </c>
      <c r="L17" s="22">
        <f>0</f>
        <v>0</v>
      </c>
      <c r="M17" s="4"/>
    </row>
    <row r="18" spans="1:14" s="41" customFormat="1" ht="73.5" customHeight="1" x14ac:dyDescent="0.25">
      <c r="A18" s="61"/>
      <c r="B18" s="59"/>
      <c r="C18" s="59"/>
      <c r="D18" s="63"/>
      <c r="E18" s="62"/>
      <c r="F18" s="63"/>
      <c r="G18" s="54">
        <v>244</v>
      </c>
      <c r="H18" s="54" t="s">
        <v>19</v>
      </c>
      <c r="I18" s="42">
        <f>SUM(J18:L18)</f>
        <v>7.0999999999999994E-2</v>
      </c>
      <c r="J18" s="42">
        <f>0.071</f>
        <v>7.0999999999999994E-2</v>
      </c>
      <c r="K18" s="42">
        <v>0</v>
      </c>
      <c r="L18" s="42">
        <v>0</v>
      </c>
      <c r="M18" s="4"/>
    </row>
    <row r="19" spans="1:14" ht="15" customHeight="1" x14ac:dyDescent="0.25">
      <c r="A19" s="63" t="s">
        <v>200</v>
      </c>
      <c r="B19" s="63"/>
      <c r="C19" s="63"/>
      <c r="D19" s="63"/>
      <c r="E19" s="63"/>
      <c r="F19" s="63"/>
      <c r="G19" s="63"/>
      <c r="H19" s="21" t="s">
        <v>16</v>
      </c>
      <c r="I19" s="22">
        <f>I20+I21</f>
        <v>55317.186799999996</v>
      </c>
      <c r="J19" s="22">
        <f>J13</f>
        <v>26717.186799999999</v>
      </c>
      <c r="K19" s="22">
        <f>K13</f>
        <v>28600</v>
      </c>
      <c r="L19" s="22">
        <f>L13</f>
        <v>0</v>
      </c>
      <c r="M19" s="4"/>
    </row>
    <row r="20" spans="1:14" s="18" customFormat="1" ht="31.5" customHeight="1" x14ac:dyDescent="0.25">
      <c r="A20" s="63"/>
      <c r="B20" s="63"/>
      <c r="C20" s="63"/>
      <c r="D20" s="63"/>
      <c r="E20" s="63"/>
      <c r="F20" s="63"/>
      <c r="G20" s="63"/>
      <c r="H20" s="21" t="s">
        <v>18</v>
      </c>
      <c r="I20" s="22">
        <f>I15</f>
        <v>47850</v>
      </c>
      <c r="J20" s="22">
        <f>J15</f>
        <v>22968</v>
      </c>
      <c r="K20" s="22">
        <f>K15</f>
        <v>24882</v>
      </c>
      <c r="L20" s="22">
        <f>L15</f>
        <v>0</v>
      </c>
      <c r="M20" s="4"/>
    </row>
    <row r="21" spans="1:14" ht="43.5" customHeight="1" x14ac:dyDescent="0.25">
      <c r="A21" s="63"/>
      <c r="B21" s="63"/>
      <c r="C21" s="63"/>
      <c r="D21" s="63"/>
      <c r="E21" s="63"/>
      <c r="F21" s="63"/>
      <c r="G21" s="63"/>
      <c r="H21" s="21" t="s">
        <v>19</v>
      </c>
      <c r="I21" s="22">
        <f>I17+I18</f>
        <v>7467.1867999999995</v>
      </c>
      <c r="J21" s="42">
        <f t="shared" ref="J21:L21" si="1">J17+J18</f>
        <v>3749.1867999999999</v>
      </c>
      <c r="K21" s="42">
        <f t="shared" si="1"/>
        <v>3718</v>
      </c>
      <c r="L21" s="42">
        <f t="shared" si="1"/>
        <v>0</v>
      </c>
      <c r="M21" s="4"/>
    </row>
    <row r="22" spans="1:14" s="19" customFormat="1" ht="51.75" customHeight="1" x14ac:dyDescent="0.25">
      <c r="A22" s="62" t="s">
        <v>188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4"/>
    </row>
    <row r="23" spans="1:14" s="19" customFormat="1" x14ac:dyDescent="0.25">
      <c r="A23" s="62" t="s">
        <v>143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4"/>
    </row>
    <row r="24" spans="1:14" s="19" customFormat="1" ht="30" x14ac:dyDescent="0.25">
      <c r="A24" s="62" t="s">
        <v>87</v>
      </c>
      <c r="B24" s="12" t="s">
        <v>62</v>
      </c>
      <c r="C24" s="12"/>
      <c r="D24" s="12" t="s">
        <v>102</v>
      </c>
      <c r="E24" s="12" t="s">
        <v>25</v>
      </c>
      <c r="F24" s="12" t="s">
        <v>63</v>
      </c>
      <c r="G24" s="12" t="s">
        <v>15</v>
      </c>
      <c r="H24" s="21" t="s">
        <v>16</v>
      </c>
      <c r="I24" s="22">
        <f>I25</f>
        <v>156081.4</v>
      </c>
      <c r="J24" s="22">
        <f>J25</f>
        <v>156081.4</v>
      </c>
      <c r="K24" s="22">
        <f>K25</f>
        <v>0</v>
      </c>
      <c r="L24" s="22">
        <f>L25</f>
        <v>0</v>
      </c>
      <c r="M24" s="4"/>
    </row>
    <row r="25" spans="1:14" s="19" customFormat="1" ht="73.5" customHeight="1" x14ac:dyDescent="0.25">
      <c r="A25" s="62"/>
      <c r="B25" s="12" t="s">
        <v>121</v>
      </c>
      <c r="C25" s="12"/>
      <c r="D25" s="12" t="s">
        <v>102</v>
      </c>
      <c r="E25" s="12" t="s">
        <v>25</v>
      </c>
      <c r="F25" s="12" t="s">
        <v>197</v>
      </c>
      <c r="G25" s="12" t="s">
        <v>15</v>
      </c>
      <c r="H25" s="21" t="s">
        <v>16</v>
      </c>
      <c r="I25" s="22">
        <f>SUM(I26:I27)</f>
        <v>156081.4</v>
      </c>
      <c r="J25" s="22">
        <f>SUM(J26:J27)</f>
        <v>156081.4</v>
      </c>
      <c r="K25" s="22">
        <f>SUM(K26:K27)</f>
        <v>0</v>
      </c>
      <c r="L25" s="22">
        <f>SUM(L26:L27)</f>
        <v>0</v>
      </c>
      <c r="M25" s="4"/>
    </row>
    <row r="26" spans="1:14" s="19" customFormat="1" ht="66" customHeight="1" x14ac:dyDescent="0.25">
      <c r="A26" s="62" t="s">
        <v>88</v>
      </c>
      <c r="B26" s="62" t="s">
        <v>122</v>
      </c>
      <c r="C26" s="62" t="s">
        <v>116</v>
      </c>
      <c r="D26" s="12" t="s">
        <v>102</v>
      </c>
      <c r="E26" s="12" t="s">
        <v>25</v>
      </c>
      <c r="F26" s="12" t="s">
        <v>123</v>
      </c>
      <c r="G26" s="12" t="s">
        <v>24</v>
      </c>
      <c r="H26" s="21" t="s">
        <v>18</v>
      </c>
      <c r="I26" s="22">
        <f>SUM(J26:L26)</f>
        <v>155925.29999999999</v>
      </c>
      <c r="J26" s="22">
        <f>155925.3</f>
        <v>155925.29999999999</v>
      </c>
      <c r="K26" s="22">
        <v>0</v>
      </c>
      <c r="L26" s="22">
        <f>0</f>
        <v>0</v>
      </c>
      <c r="M26" s="4"/>
    </row>
    <row r="27" spans="1:14" s="19" customFormat="1" ht="72" customHeight="1" x14ac:dyDescent="0.25">
      <c r="A27" s="62"/>
      <c r="B27" s="62"/>
      <c r="C27" s="62"/>
      <c r="D27" s="12" t="s">
        <v>102</v>
      </c>
      <c r="E27" s="12" t="s">
        <v>25</v>
      </c>
      <c r="F27" s="12" t="s">
        <v>124</v>
      </c>
      <c r="G27" s="12" t="s">
        <v>24</v>
      </c>
      <c r="H27" s="21" t="s">
        <v>19</v>
      </c>
      <c r="I27" s="22">
        <f>SUM(J27:L27)</f>
        <v>156.1</v>
      </c>
      <c r="J27" s="22">
        <f>156.1</f>
        <v>156.1</v>
      </c>
      <c r="K27" s="22">
        <v>0</v>
      </c>
      <c r="L27" s="22">
        <f>0</f>
        <v>0</v>
      </c>
      <c r="M27" s="14"/>
    </row>
    <row r="28" spans="1:14" s="19" customFormat="1" ht="27" customHeight="1" x14ac:dyDescent="0.25">
      <c r="A28" s="62" t="s">
        <v>81</v>
      </c>
      <c r="B28" s="62"/>
      <c r="C28" s="62"/>
      <c r="D28" s="62"/>
      <c r="E28" s="62"/>
      <c r="F28" s="62"/>
      <c r="G28" s="62"/>
      <c r="H28" s="21" t="s">
        <v>11</v>
      </c>
      <c r="I28" s="22">
        <f>I24</f>
        <v>156081.4</v>
      </c>
      <c r="J28" s="22">
        <f>J24</f>
        <v>156081.4</v>
      </c>
      <c r="K28" s="22">
        <f>K24</f>
        <v>0</v>
      </c>
      <c r="L28" s="22">
        <f>L24</f>
        <v>0</v>
      </c>
      <c r="M28" s="14"/>
    </row>
    <row r="29" spans="1:14" s="19" customFormat="1" ht="37.5" customHeight="1" x14ac:dyDescent="0.25">
      <c r="A29" s="62"/>
      <c r="B29" s="62"/>
      <c r="C29" s="62"/>
      <c r="D29" s="62"/>
      <c r="E29" s="62"/>
      <c r="F29" s="62"/>
      <c r="G29" s="62"/>
      <c r="H29" s="21" t="s">
        <v>18</v>
      </c>
      <c r="I29" s="22">
        <f t="shared" ref="I29:L29" si="2">I26</f>
        <v>155925.29999999999</v>
      </c>
      <c r="J29" s="22">
        <f t="shared" si="2"/>
        <v>155925.29999999999</v>
      </c>
      <c r="K29" s="22">
        <f t="shared" si="2"/>
        <v>0</v>
      </c>
      <c r="L29" s="22">
        <f t="shared" si="2"/>
        <v>0</v>
      </c>
      <c r="M29" s="14"/>
    </row>
    <row r="30" spans="1:14" s="19" customFormat="1" ht="39" customHeight="1" x14ac:dyDescent="0.25">
      <c r="A30" s="62"/>
      <c r="B30" s="62"/>
      <c r="C30" s="62"/>
      <c r="D30" s="62"/>
      <c r="E30" s="62"/>
      <c r="F30" s="62"/>
      <c r="G30" s="62"/>
      <c r="H30" s="21" t="s">
        <v>19</v>
      </c>
      <c r="I30" s="22">
        <f t="shared" ref="I30:L30" si="3">I27</f>
        <v>156.1</v>
      </c>
      <c r="J30" s="22">
        <f t="shared" si="3"/>
        <v>156.1</v>
      </c>
      <c r="K30" s="22">
        <f t="shared" si="3"/>
        <v>0</v>
      </c>
      <c r="L30" s="22">
        <f t="shared" si="3"/>
        <v>0</v>
      </c>
      <c r="M30" s="4"/>
    </row>
    <row r="31" spans="1:14" s="19" customFormat="1" ht="25.5" customHeight="1" x14ac:dyDescent="0.25">
      <c r="A31" s="62" t="s">
        <v>146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4"/>
    </row>
    <row r="32" spans="1:14" ht="18" customHeight="1" x14ac:dyDescent="0.25">
      <c r="A32" s="62" t="s">
        <v>144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4"/>
      <c r="N32" s="4"/>
    </row>
    <row r="33" spans="1:13" ht="21" customHeight="1" x14ac:dyDescent="0.25">
      <c r="A33" s="62" t="s">
        <v>145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4"/>
    </row>
    <row r="34" spans="1:13" ht="28.5" customHeight="1" x14ac:dyDescent="0.25">
      <c r="A34" s="62" t="s">
        <v>147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4"/>
    </row>
    <row r="35" spans="1:13" ht="50.25" customHeight="1" x14ac:dyDescent="0.25">
      <c r="A35" s="62" t="s">
        <v>136</v>
      </c>
      <c r="B35" s="12" t="s">
        <v>62</v>
      </c>
      <c r="C35" s="12"/>
      <c r="D35" s="12" t="s">
        <v>102</v>
      </c>
      <c r="E35" s="12" t="s">
        <v>14</v>
      </c>
      <c r="F35" s="12" t="s">
        <v>63</v>
      </c>
      <c r="G35" s="12" t="s">
        <v>15</v>
      </c>
      <c r="H35" s="12" t="s">
        <v>16</v>
      </c>
      <c r="I35" s="22">
        <f>I36</f>
        <v>3168.721</v>
      </c>
      <c r="J35" s="22">
        <f>J36</f>
        <v>0</v>
      </c>
      <c r="K35" s="22">
        <f>K36</f>
        <v>423.92099999999999</v>
      </c>
      <c r="L35" s="22">
        <f>L36</f>
        <v>2744.8</v>
      </c>
      <c r="M35" s="4"/>
    </row>
    <row r="36" spans="1:13" ht="68.25" customHeight="1" x14ac:dyDescent="0.25">
      <c r="A36" s="62"/>
      <c r="B36" s="21" t="s">
        <v>103</v>
      </c>
      <c r="C36" s="58" t="s">
        <v>225</v>
      </c>
      <c r="D36" s="21">
        <v>732</v>
      </c>
      <c r="E36" s="12" t="s">
        <v>25</v>
      </c>
      <c r="F36" s="12" t="s">
        <v>104</v>
      </c>
      <c r="G36" s="12" t="s">
        <v>15</v>
      </c>
      <c r="H36" s="21" t="s">
        <v>16</v>
      </c>
      <c r="I36" s="22">
        <f>I37+I38+I39</f>
        <v>3168.721</v>
      </c>
      <c r="J36" s="51">
        <f t="shared" ref="J36:L36" si="4">J37+J38+J39</f>
        <v>0</v>
      </c>
      <c r="K36" s="51">
        <f t="shared" si="4"/>
        <v>423.92099999999999</v>
      </c>
      <c r="L36" s="51">
        <f t="shared" si="4"/>
        <v>2744.8</v>
      </c>
      <c r="M36" s="4"/>
    </row>
    <row r="37" spans="1:13" ht="42.75" customHeight="1" x14ac:dyDescent="0.25">
      <c r="A37" s="62" t="s">
        <v>105</v>
      </c>
      <c r="B37" s="63" t="s">
        <v>106</v>
      </c>
      <c r="C37" s="66"/>
      <c r="D37" s="21">
        <v>732</v>
      </c>
      <c r="E37" s="12" t="s">
        <v>14</v>
      </c>
      <c r="F37" s="12" t="s">
        <v>107</v>
      </c>
      <c r="G37" s="12" t="s">
        <v>24</v>
      </c>
      <c r="H37" s="21" t="s">
        <v>18</v>
      </c>
      <c r="I37" s="22">
        <f>SUM(J37:L37)</f>
        <v>2387.9</v>
      </c>
      <c r="J37" s="22">
        <f>0</f>
        <v>0</v>
      </c>
      <c r="K37" s="22">
        <f>0</f>
        <v>0</v>
      </c>
      <c r="L37" s="22">
        <f>2387.9</f>
        <v>2387.9</v>
      </c>
      <c r="M37" s="4"/>
    </row>
    <row r="38" spans="1:13" ht="54" customHeight="1" x14ac:dyDescent="0.25">
      <c r="A38" s="62"/>
      <c r="B38" s="63"/>
      <c r="C38" s="66"/>
      <c r="D38" s="21">
        <v>732</v>
      </c>
      <c r="E38" s="12" t="s">
        <v>14</v>
      </c>
      <c r="F38" s="12" t="s">
        <v>108</v>
      </c>
      <c r="G38" s="12" t="s">
        <v>24</v>
      </c>
      <c r="H38" s="21" t="s">
        <v>19</v>
      </c>
      <c r="I38" s="22">
        <f>SUM(J38:L38)</f>
        <v>356.9</v>
      </c>
      <c r="J38" s="22">
        <f>0</f>
        <v>0</v>
      </c>
      <c r="K38" s="22">
        <v>0</v>
      </c>
      <c r="L38" s="22">
        <f>356.9</f>
        <v>356.9</v>
      </c>
      <c r="M38" s="4"/>
    </row>
    <row r="39" spans="1:13" s="50" customFormat="1" ht="54" customHeight="1" x14ac:dyDescent="0.25">
      <c r="A39" s="48" t="s">
        <v>219</v>
      </c>
      <c r="B39" s="49" t="s">
        <v>220</v>
      </c>
      <c r="C39" s="59"/>
      <c r="D39" s="49">
        <v>732</v>
      </c>
      <c r="E39" s="48" t="s">
        <v>14</v>
      </c>
      <c r="F39" s="48" t="s">
        <v>221</v>
      </c>
      <c r="G39" s="48" t="s">
        <v>24</v>
      </c>
      <c r="H39" s="49" t="s">
        <v>19</v>
      </c>
      <c r="I39" s="51">
        <f>SUM(J39:L39)</f>
        <v>423.92099999999999</v>
      </c>
      <c r="J39" s="51">
        <f>0</f>
        <v>0</v>
      </c>
      <c r="K39" s="51">
        <f>423.921</f>
        <v>423.92099999999999</v>
      </c>
      <c r="L39" s="51">
        <f>0</f>
        <v>0</v>
      </c>
      <c r="M39" s="4"/>
    </row>
    <row r="40" spans="1:13" ht="28.5" customHeight="1" x14ac:dyDescent="0.25">
      <c r="A40" s="62" t="s">
        <v>98</v>
      </c>
      <c r="B40" s="62"/>
      <c r="C40" s="62"/>
      <c r="D40" s="62"/>
      <c r="E40" s="62"/>
      <c r="F40" s="62"/>
      <c r="G40" s="62"/>
      <c r="H40" s="21" t="s">
        <v>11</v>
      </c>
      <c r="I40" s="22">
        <f>I41+I42</f>
        <v>3168.721</v>
      </c>
      <c r="J40" s="22">
        <f>J41+J42</f>
        <v>0</v>
      </c>
      <c r="K40" s="22">
        <f>K41+K42</f>
        <v>423.92099999999999</v>
      </c>
      <c r="L40" s="22">
        <f>L41+L42</f>
        <v>2744.8</v>
      </c>
      <c r="M40" s="4"/>
    </row>
    <row r="41" spans="1:13" ht="33" customHeight="1" x14ac:dyDescent="0.25">
      <c r="A41" s="62"/>
      <c r="B41" s="62"/>
      <c r="C41" s="62"/>
      <c r="D41" s="62"/>
      <c r="E41" s="62"/>
      <c r="F41" s="62"/>
      <c r="G41" s="62"/>
      <c r="H41" s="21" t="s">
        <v>18</v>
      </c>
      <c r="I41" s="22">
        <f>I37</f>
        <v>2387.9</v>
      </c>
      <c r="J41" s="22">
        <f>J37</f>
        <v>0</v>
      </c>
      <c r="K41" s="22">
        <f>K37</f>
        <v>0</v>
      </c>
      <c r="L41" s="22">
        <f>L37</f>
        <v>2387.9</v>
      </c>
      <c r="M41" s="4"/>
    </row>
    <row r="42" spans="1:13" ht="46.5" customHeight="1" x14ac:dyDescent="0.25">
      <c r="A42" s="62"/>
      <c r="B42" s="62"/>
      <c r="C42" s="62"/>
      <c r="D42" s="62"/>
      <c r="E42" s="62"/>
      <c r="F42" s="62"/>
      <c r="G42" s="62"/>
      <c r="H42" s="21" t="s">
        <v>19</v>
      </c>
      <c r="I42" s="22">
        <f>I38+I39</f>
        <v>780.82099999999991</v>
      </c>
      <c r="J42" s="51">
        <f t="shared" ref="J42:L42" si="5">J38+J39</f>
        <v>0</v>
      </c>
      <c r="K42" s="51">
        <f t="shared" si="5"/>
        <v>423.92099999999999</v>
      </c>
      <c r="L42" s="51">
        <f t="shared" si="5"/>
        <v>356.9</v>
      </c>
      <c r="M42" s="4"/>
    </row>
    <row r="43" spans="1:13" ht="24" customHeight="1" x14ac:dyDescent="0.25">
      <c r="A43" s="57" t="s">
        <v>137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4"/>
    </row>
    <row r="44" spans="1:13" ht="28.5" customHeight="1" x14ac:dyDescent="0.25">
      <c r="A44" s="57" t="s">
        <v>148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4"/>
    </row>
    <row r="45" spans="1:13" ht="37.5" customHeight="1" x14ac:dyDescent="0.25">
      <c r="A45" s="57" t="s">
        <v>149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4"/>
    </row>
    <row r="46" spans="1:13" ht="51.75" customHeight="1" x14ac:dyDescent="0.25">
      <c r="A46" s="75" t="s">
        <v>141</v>
      </c>
      <c r="B46" s="9" t="s">
        <v>62</v>
      </c>
      <c r="C46" s="9"/>
      <c r="D46" s="20">
        <v>732</v>
      </c>
      <c r="E46" s="20" t="s">
        <v>14</v>
      </c>
      <c r="F46" s="20" t="s">
        <v>66</v>
      </c>
      <c r="G46" s="20" t="s">
        <v>15</v>
      </c>
      <c r="H46" s="20" t="s">
        <v>16</v>
      </c>
      <c r="I46" s="25">
        <f>I47</f>
        <v>3812.4137999999998</v>
      </c>
      <c r="J46" s="25">
        <f>J47</f>
        <v>1270.8045999999999</v>
      </c>
      <c r="K46" s="25">
        <f>K47</f>
        <v>1270.8045999999999</v>
      </c>
      <c r="L46" s="25">
        <f>L47</f>
        <v>1270.8045999999999</v>
      </c>
      <c r="M46" s="4"/>
    </row>
    <row r="47" spans="1:13" s="11" customFormat="1" ht="81.75" customHeight="1" x14ac:dyDescent="0.25">
      <c r="A47" s="75"/>
      <c r="B47" s="9" t="s">
        <v>109</v>
      </c>
      <c r="C47" s="27" t="s">
        <v>58</v>
      </c>
      <c r="D47" s="20">
        <v>732</v>
      </c>
      <c r="E47" s="20" t="s">
        <v>14</v>
      </c>
      <c r="F47" s="20" t="s">
        <v>111</v>
      </c>
      <c r="G47" s="20" t="s">
        <v>15</v>
      </c>
      <c r="H47" s="20" t="s">
        <v>16</v>
      </c>
      <c r="I47" s="25">
        <f>I49+I48</f>
        <v>3812.4137999999998</v>
      </c>
      <c r="J47" s="25">
        <f>J49+J48</f>
        <v>1270.8045999999999</v>
      </c>
      <c r="K47" s="25">
        <f>K49+K48</f>
        <v>1270.8045999999999</v>
      </c>
      <c r="L47" s="25">
        <f>L49+L48</f>
        <v>1270.8045999999999</v>
      </c>
      <c r="M47" s="4"/>
    </row>
    <row r="48" spans="1:13" s="13" customFormat="1" ht="43.5" customHeight="1" x14ac:dyDescent="0.25">
      <c r="A48" s="75" t="s">
        <v>93</v>
      </c>
      <c r="B48" s="57" t="s">
        <v>110</v>
      </c>
      <c r="C48" s="57"/>
      <c r="D48" s="20" t="s">
        <v>102</v>
      </c>
      <c r="E48" s="20" t="s">
        <v>14</v>
      </c>
      <c r="F48" s="20" t="s">
        <v>112</v>
      </c>
      <c r="G48" s="20" t="s">
        <v>24</v>
      </c>
      <c r="H48" s="20" t="s">
        <v>18</v>
      </c>
      <c r="I48" s="25">
        <f>SUM(J48:L48)</f>
        <v>3316.7999999999997</v>
      </c>
      <c r="J48" s="25">
        <f>1105.6</f>
        <v>1105.5999999999999</v>
      </c>
      <c r="K48" s="25">
        <f>1105.6</f>
        <v>1105.5999999999999</v>
      </c>
      <c r="L48" s="25">
        <f>1105.6</f>
        <v>1105.5999999999999</v>
      </c>
      <c r="M48" s="4"/>
    </row>
    <row r="49" spans="1:13" ht="37.5" customHeight="1" x14ac:dyDescent="0.25">
      <c r="A49" s="75"/>
      <c r="B49" s="57"/>
      <c r="C49" s="57"/>
      <c r="D49" s="20">
        <v>732</v>
      </c>
      <c r="E49" s="20" t="s">
        <v>14</v>
      </c>
      <c r="F49" s="26" t="s">
        <v>113</v>
      </c>
      <c r="G49" s="20" t="s">
        <v>24</v>
      </c>
      <c r="H49" s="20" t="s">
        <v>19</v>
      </c>
      <c r="I49" s="25">
        <f>SUM(J49:L49)</f>
        <v>495.61379999999997</v>
      </c>
      <c r="J49" s="25">
        <f>165.2+0.0046</f>
        <v>165.2046</v>
      </c>
      <c r="K49" s="25">
        <f t="shared" ref="K49:L49" si="6">165.2+0.0046</f>
        <v>165.2046</v>
      </c>
      <c r="L49" s="25">
        <f t="shared" si="6"/>
        <v>165.2046</v>
      </c>
      <c r="M49" s="4"/>
    </row>
    <row r="50" spans="1:13" x14ac:dyDescent="0.25">
      <c r="A50" s="57" t="s">
        <v>142</v>
      </c>
      <c r="B50" s="57"/>
      <c r="C50" s="57"/>
      <c r="D50" s="57"/>
      <c r="E50" s="57"/>
      <c r="F50" s="57"/>
      <c r="G50" s="57"/>
      <c r="H50" s="9" t="s">
        <v>11</v>
      </c>
      <c r="I50" s="25">
        <f>I46</f>
        <v>3812.4137999999998</v>
      </c>
      <c r="J50" s="25">
        <f>J46</f>
        <v>1270.8045999999999</v>
      </c>
      <c r="K50" s="25">
        <f>K46</f>
        <v>1270.8045999999999</v>
      </c>
      <c r="L50" s="25">
        <f>L46</f>
        <v>1270.8045999999999</v>
      </c>
      <c r="M50" s="4"/>
    </row>
    <row r="51" spans="1:13" s="13" customFormat="1" ht="30" x14ac:dyDescent="0.25">
      <c r="A51" s="57"/>
      <c r="B51" s="57"/>
      <c r="C51" s="57"/>
      <c r="D51" s="57"/>
      <c r="E51" s="57"/>
      <c r="F51" s="57"/>
      <c r="G51" s="57"/>
      <c r="H51" s="9" t="s">
        <v>18</v>
      </c>
      <c r="I51" s="25">
        <f t="shared" ref="I51:L52" si="7">I48</f>
        <v>3316.7999999999997</v>
      </c>
      <c r="J51" s="25">
        <f t="shared" si="7"/>
        <v>1105.5999999999999</v>
      </c>
      <c r="K51" s="25">
        <f t="shared" si="7"/>
        <v>1105.5999999999999</v>
      </c>
      <c r="L51" s="25">
        <f t="shared" si="7"/>
        <v>1105.5999999999999</v>
      </c>
      <c r="M51" s="4"/>
    </row>
    <row r="52" spans="1:13" ht="30" x14ac:dyDescent="0.25">
      <c r="A52" s="57"/>
      <c r="B52" s="57"/>
      <c r="C52" s="57"/>
      <c r="D52" s="57"/>
      <c r="E52" s="57"/>
      <c r="F52" s="57"/>
      <c r="G52" s="57"/>
      <c r="H52" s="9" t="s">
        <v>19</v>
      </c>
      <c r="I52" s="25">
        <f t="shared" si="7"/>
        <v>495.61379999999997</v>
      </c>
      <c r="J52" s="25">
        <f t="shared" si="7"/>
        <v>165.2046</v>
      </c>
      <c r="K52" s="25">
        <f t="shared" si="7"/>
        <v>165.2046</v>
      </c>
      <c r="L52" s="25">
        <f t="shared" si="7"/>
        <v>165.2046</v>
      </c>
      <c r="M52" s="4"/>
    </row>
    <row r="53" spans="1:13" s="19" customFormat="1" ht="36" customHeight="1" x14ac:dyDescent="0.25">
      <c r="A53" s="57" t="s">
        <v>184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4"/>
    </row>
    <row r="54" spans="1:13" x14ac:dyDescent="0.25">
      <c r="A54" s="62" t="s">
        <v>150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4"/>
    </row>
    <row r="55" spans="1:13" ht="36.75" customHeight="1" x14ac:dyDescent="0.25">
      <c r="A55" s="62" t="s">
        <v>114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4"/>
    </row>
    <row r="56" spans="1:13" ht="27" customHeight="1" x14ac:dyDescent="0.25">
      <c r="A56" s="62" t="s">
        <v>94</v>
      </c>
      <c r="B56" s="12" t="s">
        <v>62</v>
      </c>
      <c r="C56" s="12"/>
      <c r="D56" s="12" t="s">
        <v>102</v>
      </c>
      <c r="E56" s="12" t="s">
        <v>25</v>
      </c>
      <c r="F56" s="12" t="s">
        <v>63</v>
      </c>
      <c r="G56" s="12" t="s">
        <v>15</v>
      </c>
      <c r="H56" s="21" t="s">
        <v>16</v>
      </c>
      <c r="I56" s="22">
        <f>I57</f>
        <v>3182.2</v>
      </c>
      <c r="J56" s="22">
        <f>J57</f>
        <v>3182.2</v>
      </c>
      <c r="K56" s="22">
        <f>K57</f>
        <v>0</v>
      </c>
      <c r="L56" s="22">
        <f>L57</f>
        <v>0</v>
      </c>
      <c r="M56" s="4"/>
    </row>
    <row r="57" spans="1:13" ht="93.75" customHeight="1" x14ac:dyDescent="0.25">
      <c r="A57" s="62"/>
      <c r="B57" s="12" t="s">
        <v>115</v>
      </c>
      <c r="C57" s="12" t="s">
        <v>183</v>
      </c>
      <c r="D57" s="12" t="s">
        <v>102</v>
      </c>
      <c r="E57" s="12" t="s">
        <v>25</v>
      </c>
      <c r="F57" s="12" t="s">
        <v>117</v>
      </c>
      <c r="G57" s="12" t="s">
        <v>15</v>
      </c>
      <c r="H57" s="21" t="s">
        <v>16</v>
      </c>
      <c r="I57" s="22">
        <f>SUM(I58:I59)</f>
        <v>3182.2</v>
      </c>
      <c r="J57" s="22">
        <f>SUM(J58:J59)</f>
        <v>3182.2</v>
      </c>
      <c r="K57" s="22">
        <f>SUM(K58:K59)</f>
        <v>0</v>
      </c>
      <c r="L57" s="22">
        <f>SUM(L58:L59)</f>
        <v>0</v>
      </c>
      <c r="M57" s="4"/>
    </row>
    <row r="58" spans="1:13" ht="75.75" customHeight="1" x14ac:dyDescent="0.25">
      <c r="A58" s="62" t="s">
        <v>95</v>
      </c>
      <c r="B58" s="62" t="s">
        <v>118</v>
      </c>
      <c r="C58" s="62"/>
      <c r="D58" s="62" t="s">
        <v>102</v>
      </c>
      <c r="E58" s="62" t="s">
        <v>25</v>
      </c>
      <c r="F58" s="62" t="s">
        <v>119</v>
      </c>
      <c r="G58" s="62" t="s">
        <v>24</v>
      </c>
      <c r="H58" s="21" t="s">
        <v>17</v>
      </c>
      <c r="I58" s="22">
        <f>SUM(J58:L58)</f>
        <v>2800.2999999999997</v>
      </c>
      <c r="J58" s="22">
        <f>4217.9-1417.6</f>
        <v>2800.2999999999997</v>
      </c>
      <c r="K58" s="22">
        <v>0</v>
      </c>
      <c r="L58" s="22">
        <f>0</f>
        <v>0</v>
      </c>
      <c r="M58" s="4"/>
    </row>
    <row r="59" spans="1:13" ht="45.75" customHeight="1" x14ac:dyDescent="0.25">
      <c r="A59" s="62"/>
      <c r="B59" s="62"/>
      <c r="C59" s="62"/>
      <c r="D59" s="62"/>
      <c r="E59" s="62"/>
      <c r="F59" s="62"/>
      <c r="G59" s="62"/>
      <c r="H59" s="21" t="s">
        <v>19</v>
      </c>
      <c r="I59" s="22">
        <f>SUM(J59:L59)</f>
        <v>381.90000000000003</v>
      </c>
      <c r="J59" s="22">
        <f>575.2-193.3</f>
        <v>381.90000000000003</v>
      </c>
      <c r="K59" s="22">
        <v>0</v>
      </c>
      <c r="L59" s="22">
        <f>0</f>
        <v>0</v>
      </c>
      <c r="M59" s="4"/>
    </row>
    <row r="60" spans="1:13" x14ac:dyDescent="0.25">
      <c r="A60" s="62" t="s">
        <v>120</v>
      </c>
      <c r="B60" s="62"/>
      <c r="C60" s="62"/>
      <c r="D60" s="62"/>
      <c r="E60" s="62"/>
      <c r="F60" s="62"/>
      <c r="G60" s="62"/>
      <c r="H60" s="21" t="s">
        <v>11</v>
      </c>
      <c r="I60" s="22">
        <f>I56</f>
        <v>3182.2</v>
      </c>
      <c r="J60" s="22">
        <f>J56</f>
        <v>3182.2</v>
      </c>
      <c r="K60" s="22">
        <f>K56</f>
        <v>0</v>
      </c>
      <c r="L60" s="22">
        <f>L56</f>
        <v>0</v>
      </c>
      <c r="M60" s="4"/>
    </row>
    <row r="61" spans="1:13" s="11" customFormat="1" ht="30" x14ac:dyDescent="0.25">
      <c r="A61" s="62"/>
      <c r="B61" s="62"/>
      <c r="C61" s="62"/>
      <c r="D61" s="62"/>
      <c r="E61" s="62"/>
      <c r="F61" s="62"/>
      <c r="G61" s="62"/>
      <c r="H61" s="21" t="s">
        <v>17</v>
      </c>
      <c r="I61" s="22">
        <f t="shared" ref="I61:L62" si="8">I58</f>
        <v>2800.2999999999997</v>
      </c>
      <c r="J61" s="22">
        <f>J58</f>
        <v>2800.2999999999997</v>
      </c>
      <c r="K61" s="22">
        <f t="shared" si="8"/>
        <v>0</v>
      </c>
      <c r="L61" s="22">
        <f t="shared" si="8"/>
        <v>0</v>
      </c>
      <c r="M61" s="4"/>
    </row>
    <row r="62" spans="1:13" ht="30" x14ac:dyDescent="0.25">
      <c r="A62" s="62"/>
      <c r="B62" s="62"/>
      <c r="C62" s="62"/>
      <c r="D62" s="62"/>
      <c r="E62" s="62"/>
      <c r="F62" s="62"/>
      <c r="G62" s="62"/>
      <c r="H62" s="21" t="s">
        <v>19</v>
      </c>
      <c r="I62" s="22">
        <f t="shared" si="8"/>
        <v>381.90000000000003</v>
      </c>
      <c r="J62" s="22">
        <f t="shared" si="8"/>
        <v>381.90000000000003</v>
      </c>
      <c r="K62" s="22">
        <f t="shared" si="8"/>
        <v>0</v>
      </c>
      <c r="L62" s="22">
        <f t="shared" si="8"/>
        <v>0</v>
      </c>
      <c r="M62" s="4"/>
    </row>
    <row r="63" spans="1:13" s="15" customFormat="1" ht="39" customHeight="1" x14ac:dyDescent="0.25">
      <c r="A63" s="64" t="s">
        <v>185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4"/>
    </row>
    <row r="64" spans="1:13" s="15" customFormat="1" ht="53.25" customHeight="1" x14ac:dyDescent="0.25">
      <c r="A64" s="62" t="s">
        <v>151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4"/>
    </row>
    <row r="65" spans="1:13" s="15" customFormat="1" ht="15" customHeight="1" x14ac:dyDescent="0.25">
      <c r="A65" s="62" t="s">
        <v>152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4"/>
    </row>
    <row r="66" spans="1:13" s="15" customFormat="1" ht="48" customHeight="1" x14ac:dyDescent="0.25">
      <c r="A66" s="62" t="s">
        <v>96</v>
      </c>
      <c r="B66" s="12" t="s">
        <v>62</v>
      </c>
      <c r="C66" s="12"/>
      <c r="D66" s="12" t="s">
        <v>102</v>
      </c>
      <c r="E66" s="12" t="s">
        <v>22</v>
      </c>
      <c r="F66" s="12" t="s">
        <v>63</v>
      </c>
      <c r="G66" s="12" t="s">
        <v>15</v>
      </c>
      <c r="H66" s="21" t="s">
        <v>16</v>
      </c>
      <c r="I66" s="22">
        <f>I67</f>
        <v>244462.2</v>
      </c>
      <c r="J66" s="22">
        <f>J67</f>
        <v>81487.399999999994</v>
      </c>
      <c r="K66" s="22">
        <f>K67</f>
        <v>81487.399999999994</v>
      </c>
      <c r="L66" s="22">
        <f>L67</f>
        <v>81487.399999999994</v>
      </c>
      <c r="M66" s="4"/>
    </row>
    <row r="67" spans="1:13" s="15" customFormat="1" ht="57" customHeight="1" x14ac:dyDescent="0.25">
      <c r="A67" s="62"/>
      <c r="B67" s="12" t="s">
        <v>128</v>
      </c>
      <c r="C67" s="12"/>
      <c r="D67" s="12" t="s">
        <v>102</v>
      </c>
      <c r="E67" s="12" t="s">
        <v>22</v>
      </c>
      <c r="F67" s="12" t="s">
        <v>129</v>
      </c>
      <c r="G67" s="12" t="s">
        <v>15</v>
      </c>
      <c r="H67" s="21" t="s">
        <v>16</v>
      </c>
      <c r="I67" s="22">
        <f>I68+I70</f>
        <v>244462.2</v>
      </c>
      <c r="J67" s="22">
        <f>J68+J70</f>
        <v>81487.399999999994</v>
      </c>
      <c r="K67" s="22">
        <f>K68+K70</f>
        <v>81487.399999999994</v>
      </c>
      <c r="L67" s="22">
        <f>L68+L70</f>
        <v>81487.399999999994</v>
      </c>
      <c r="M67" s="4"/>
    </row>
    <row r="68" spans="1:13" s="17" customFormat="1" ht="52.5" customHeight="1" x14ac:dyDescent="0.25">
      <c r="A68" s="62" t="s">
        <v>85</v>
      </c>
      <c r="B68" s="62" t="s">
        <v>130</v>
      </c>
      <c r="C68" s="62"/>
      <c r="D68" s="60" t="s">
        <v>102</v>
      </c>
      <c r="E68" s="60" t="s">
        <v>20</v>
      </c>
      <c r="F68" s="62" t="s">
        <v>131</v>
      </c>
      <c r="G68" s="62" t="s">
        <v>101</v>
      </c>
      <c r="H68" s="21" t="s">
        <v>18</v>
      </c>
      <c r="I68" s="22">
        <f>SUM(J68:L68)</f>
        <v>212682</v>
      </c>
      <c r="J68" s="22">
        <f>70669+225</f>
        <v>70894</v>
      </c>
      <c r="K68" s="22">
        <f>70669+225</f>
        <v>70894</v>
      </c>
      <c r="L68" s="22">
        <f>70669+225</f>
        <v>70894</v>
      </c>
      <c r="M68" s="4"/>
    </row>
    <row r="69" spans="1:13" s="17" customFormat="1" ht="72.75" customHeight="1" x14ac:dyDescent="0.25">
      <c r="A69" s="62"/>
      <c r="B69" s="62"/>
      <c r="C69" s="62"/>
      <c r="D69" s="61"/>
      <c r="E69" s="61"/>
      <c r="F69" s="62"/>
      <c r="G69" s="62"/>
      <c r="H69" s="21" t="s">
        <v>92</v>
      </c>
      <c r="I69" s="22">
        <f>I68</f>
        <v>212682</v>
      </c>
      <c r="J69" s="22">
        <f>J68</f>
        <v>70894</v>
      </c>
      <c r="K69" s="22">
        <f>K68</f>
        <v>70894</v>
      </c>
      <c r="L69" s="22">
        <f>L68</f>
        <v>70894</v>
      </c>
      <c r="M69" s="4"/>
    </row>
    <row r="70" spans="1:13" s="17" customFormat="1" ht="52.5" customHeight="1" x14ac:dyDescent="0.25">
      <c r="A70" s="62"/>
      <c r="B70" s="62"/>
      <c r="C70" s="62"/>
      <c r="D70" s="60" t="s">
        <v>102</v>
      </c>
      <c r="E70" s="60" t="s">
        <v>20</v>
      </c>
      <c r="F70" s="62" t="s">
        <v>132</v>
      </c>
      <c r="G70" s="62" t="s">
        <v>101</v>
      </c>
      <c r="H70" s="21" t="s">
        <v>19</v>
      </c>
      <c r="I70" s="22">
        <f>SUM(J70:L70)</f>
        <v>31780.199999999997</v>
      </c>
      <c r="J70" s="22">
        <f>10559.8+33.6</f>
        <v>10593.4</v>
      </c>
      <c r="K70" s="22">
        <f>10559.8+33.6</f>
        <v>10593.4</v>
      </c>
      <c r="L70" s="22">
        <f>10559.8+33.6</f>
        <v>10593.4</v>
      </c>
      <c r="M70" s="4"/>
    </row>
    <row r="71" spans="1:13" s="17" customFormat="1" ht="75" customHeight="1" x14ac:dyDescent="0.25">
      <c r="A71" s="62"/>
      <c r="B71" s="62"/>
      <c r="C71" s="62"/>
      <c r="D71" s="61"/>
      <c r="E71" s="61"/>
      <c r="F71" s="62"/>
      <c r="G71" s="62"/>
      <c r="H71" s="21" t="s">
        <v>91</v>
      </c>
      <c r="I71" s="22">
        <f>I70</f>
        <v>31780.199999999997</v>
      </c>
      <c r="J71" s="22">
        <f>J70</f>
        <v>10593.4</v>
      </c>
      <c r="K71" s="22">
        <f>K70</f>
        <v>10593.4</v>
      </c>
      <c r="L71" s="22">
        <f>L70</f>
        <v>10593.4</v>
      </c>
      <c r="M71" s="4"/>
    </row>
    <row r="72" spans="1:13" s="17" customFormat="1" ht="42" customHeight="1" x14ac:dyDescent="0.25">
      <c r="A72" s="62" t="s">
        <v>99</v>
      </c>
      <c r="B72" s="62"/>
      <c r="C72" s="62"/>
      <c r="D72" s="62"/>
      <c r="E72" s="62"/>
      <c r="F72" s="62"/>
      <c r="G72" s="62"/>
      <c r="H72" s="21" t="s">
        <v>11</v>
      </c>
      <c r="I72" s="22">
        <f>I73+I75</f>
        <v>244462.2</v>
      </c>
      <c r="J72" s="22">
        <f>J73+J75</f>
        <v>81487.399999999994</v>
      </c>
      <c r="K72" s="22">
        <f>K73+K75</f>
        <v>81487.399999999994</v>
      </c>
      <c r="L72" s="22">
        <f>L73+L75</f>
        <v>81487.399999999994</v>
      </c>
      <c r="M72" s="4"/>
    </row>
    <row r="73" spans="1:13" s="17" customFormat="1" ht="33.75" customHeight="1" x14ac:dyDescent="0.25">
      <c r="A73" s="62"/>
      <c r="B73" s="62"/>
      <c r="C73" s="62"/>
      <c r="D73" s="62"/>
      <c r="E73" s="62"/>
      <c r="F73" s="62"/>
      <c r="G73" s="62"/>
      <c r="H73" s="21" t="s">
        <v>18</v>
      </c>
      <c r="I73" s="22">
        <f t="shared" ref="I73:L76" si="9">I68</f>
        <v>212682</v>
      </c>
      <c r="J73" s="22">
        <f t="shared" si="9"/>
        <v>70894</v>
      </c>
      <c r="K73" s="22">
        <f t="shared" si="9"/>
        <v>70894</v>
      </c>
      <c r="L73" s="22">
        <f t="shared" si="9"/>
        <v>70894</v>
      </c>
      <c r="M73" s="4"/>
    </row>
    <row r="74" spans="1:13" s="17" customFormat="1" ht="57" customHeight="1" x14ac:dyDescent="0.25">
      <c r="A74" s="62"/>
      <c r="B74" s="62"/>
      <c r="C74" s="62"/>
      <c r="D74" s="62"/>
      <c r="E74" s="62"/>
      <c r="F74" s="62"/>
      <c r="G74" s="62"/>
      <c r="H74" s="21" t="s">
        <v>92</v>
      </c>
      <c r="I74" s="22">
        <f t="shared" si="9"/>
        <v>212682</v>
      </c>
      <c r="J74" s="22">
        <f t="shared" si="9"/>
        <v>70894</v>
      </c>
      <c r="K74" s="22">
        <f t="shared" si="9"/>
        <v>70894</v>
      </c>
      <c r="L74" s="22">
        <f t="shared" si="9"/>
        <v>70894</v>
      </c>
      <c r="M74" s="4"/>
    </row>
    <row r="75" spans="1:13" s="15" customFormat="1" ht="39.75" customHeight="1" x14ac:dyDescent="0.25">
      <c r="A75" s="62"/>
      <c r="B75" s="62"/>
      <c r="C75" s="62"/>
      <c r="D75" s="62"/>
      <c r="E75" s="62"/>
      <c r="F75" s="62"/>
      <c r="G75" s="62"/>
      <c r="H75" s="21" t="s">
        <v>19</v>
      </c>
      <c r="I75" s="22">
        <f t="shared" si="9"/>
        <v>31780.199999999997</v>
      </c>
      <c r="J75" s="22">
        <f t="shared" si="9"/>
        <v>10593.4</v>
      </c>
      <c r="K75" s="22">
        <f t="shared" si="9"/>
        <v>10593.4</v>
      </c>
      <c r="L75" s="22">
        <f t="shared" si="9"/>
        <v>10593.4</v>
      </c>
      <c r="M75" s="4"/>
    </row>
    <row r="76" spans="1:13" s="17" customFormat="1" ht="58.5" customHeight="1" x14ac:dyDescent="0.25">
      <c r="A76" s="62"/>
      <c r="B76" s="62"/>
      <c r="C76" s="62"/>
      <c r="D76" s="62"/>
      <c r="E76" s="62"/>
      <c r="F76" s="62"/>
      <c r="G76" s="62"/>
      <c r="H76" s="21" t="s">
        <v>91</v>
      </c>
      <c r="I76" s="22">
        <f t="shared" si="9"/>
        <v>31780.199999999997</v>
      </c>
      <c r="J76" s="22">
        <f t="shared" si="9"/>
        <v>10593.4</v>
      </c>
      <c r="K76" s="22">
        <f t="shared" si="9"/>
        <v>10593.4</v>
      </c>
      <c r="L76" s="22">
        <f t="shared" si="9"/>
        <v>10593.4</v>
      </c>
      <c r="M76" s="4"/>
    </row>
    <row r="77" spans="1:13" x14ac:dyDescent="0.25">
      <c r="A77" s="62" t="s">
        <v>153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4"/>
    </row>
    <row r="78" spans="1:13" ht="39" customHeight="1" x14ac:dyDescent="0.25">
      <c r="A78" s="62" t="s">
        <v>189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4"/>
    </row>
    <row r="79" spans="1:13" ht="23.25" customHeight="1" x14ac:dyDescent="0.25">
      <c r="A79" s="62" t="s">
        <v>154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4"/>
    </row>
    <row r="80" spans="1:13" ht="32.25" customHeight="1" x14ac:dyDescent="0.25">
      <c r="A80" s="62" t="s">
        <v>155</v>
      </c>
      <c r="B80" s="12" t="s">
        <v>65</v>
      </c>
      <c r="C80" s="12"/>
      <c r="D80" s="21">
        <v>732</v>
      </c>
      <c r="E80" s="12" t="s">
        <v>22</v>
      </c>
      <c r="F80" s="21" t="s">
        <v>66</v>
      </c>
      <c r="G80" s="12" t="s">
        <v>15</v>
      </c>
      <c r="H80" s="21" t="s">
        <v>16</v>
      </c>
      <c r="I80" s="22">
        <f>I81</f>
        <v>112091.3012</v>
      </c>
      <c r="J80" s="22">
        <f>J81</f>
        <v>38379.701200000003</v>
      </c>
      <c r="K80" s="22">
        <f>K81</f>
        <v>36965</v>
      </c>
      <c r="L80" s="22">
        <f>L81</f>
        <v>36746.6</v>
      </c>
      <c r="M80" s="4"/>
    </row>
    <row r="81" spans="1:13" ht="45" x14ac:dyDescent="0.25">
      <c r="A81" s="62"/>
      <c r="B81" s="21" t="s">
        <v>67</v>
      </c>
      <c r="C81" s="21"/>
      <c r="D81" s="21">
        <v>732</v>
      </c>
      <c r="E81" s="12" t="s">
        <v>22</v>
      </c>
      <c r="F81" s="21" t="s">
        <v>26</v>
      </c>
      <c r="G81" s="12" t="s">
        <v>15</v>
      </c>
      <c r="H81" s="21" t="s">
        <v>16</v>
      </c>
      <c r="I81" s="22">
        <f>SUM(I82:I85)</f>
        <v>112091.3012</v>
      </c>
      <c r="J81" s="22">
        <f>SUM(J82:J85)</f>
        <v>38379.701200000003</v>
      </c>
      <c r="K81" s="22">
        <f>SUM(K82:K85)</f>
        <v>36965</v>
      </c>
      <c r="L81" s="22">
        <f>SUM(L82:L85)</f>
        <v>36746.6</v>
      </c>
      <c r="M81" s="4"/>
    </row>
    <row r="82" spans="1:13" ht="43.5" customHeight="1" x14ac:dyDescent="0.25">
      <c r="A82" s="62" t="s">
        <v>156</v>
      </c>
      <c r="B82" s="63" t="s">
        <v>27</v>
      </c>
      <c r="C82" s="35" t="s">
        <v>58</v>
      </c>
      <c r="D82" s="33">
        <v>732</v>
      </c>
      <c r="E82" s="32" t="s">
        <v>28</v>
      </c>
      <c r="F82" s="33" t="s">
        <v>29</v>
      </c>
      <c r="G82" s="12" t="s">
        <v>15</v>
      </c>
      <c r="H82" s="21" t="s">
        <v>19</v>
      </c>
      <c r="I82" s="22">
        <f>J82+K82+L82</f>
        <v>26063.3</v>
      </c>
      <c r="J82" s="22">
        <f>9403.2-4</f>
        <v>9399.2000000000007</v>
      </c>
      <c r="K82" s="22">
        <f>8404.9</f>
        <v>8404.9</v>
      </c>
      <c r="L82" s="22">
        <f>8259.2</f>
        <v>8259.2000000000007</v>
      </c>
      <c r="M82" s="4"/>
    </row>
    <row r="83" spans="1:13" s="19" customFormat="1" ht="83.25" customHeight="1" x14ac:dyDescent="0.25">
      <c r="A83" s="62"/>
      <c r="B83" s="63"/>
      <c r="C83" s="35" t="s">
        <v>89</v>
      </c>
      <c r="D83" s="33">
        <v>704</v>
      </c>
      <c r="E83" s="32" t="s">
        <v>28</v>
      </c>
      <c r="F83" s="33" t="s">
        <v>29</v>
      </c>
      <c r="G83" s="12" t="s">
        <v>15</v>
      </c>
      <c r="H83" s="21" t="s">
        <v>19</v>
      </c>
      <c r="I83" s="22">
        <f>J83+K83+L83</f>
        <v>13017.199999999999</v>
      </c>
      <c r="J83" s="22">
        <f>4695.7</f>
        <v>4695.7</v>
      </c>
      <c r="K83" s="22">
        <f>4197.1</f>
        <v>4197.1000000000004</v>
      </c>
      <c r="L83" s="22">
        <f>4124.4</f>
        <v>4124.3999999999996</v>
      </c>
      <c r="M83" s="4"/>
    </row>
    <row r="84" spans="1:13" s="24" customFormat="1" ht="45" x14ac:dyDescent="0.25">
      <c r="A84" s="12" t="s">
        <v>198</v>
      </c>
      <c r="B84" s="21" t="s">
        <v>30</v>
      </c>
      <c r="C84" s="8" t="s">
        <v>90</v>
      </c>
      <c r="D84" s="21">
        <v>732</v>
      </c>
      <c r="E84" s="12" t="s">
        <v>28</v>
      </c>
      <c r="F84" s="21" t="s">
        <v>31</v>
      </c>
      <c r="G84" s="12" t="s">
        <v>15</v>
      </c>
      <c r="H84" s="21" t="s">
        <v>19</v>
      </c>
      <c r="I84" s="22">
        <f t="shared" ref="I84" si="10">SUM(J84:L84)</f>
        <v>20883</v>
      </c>
      <c r="J84" s="22">
        <f>6961</f>
        <v>6961</v>
      </c>
      <c r="K84" s="22">
        <f>6961</f>
        <v>6961</v>
      </c>
      <c r="L84" s="22">
        <f>6961</f>
        <v>6961</v>
      </c>
      <c r="M84" s="23"/>
    </row>
    <row r="85" spans="1:13" s="24" customFormat="1" ht="77.25" customHeight="1" x14ac:dyDescent="0.25">
      <c r="A85" s="12" t="s">
        <v>182</v>
      </c>
      <c r="B85" s="21" t="s">
        <v>32</v>
      </c>
      <c r="C85" s="8" t="s">
        <v>59</v>
      </c>
      <c r="D85" s="21">
        <v>732</v>
      </c>
      <c r="E85" s="12" t="s">
        <v>28</v>
      </c>
      <c r="F85" s="21" t="s">
        <v>33</v>
      </c>
      <c r="G85" s="12" t="s">
        <v>15</v>
      </c>
      <c r="H85" s="21" t="s">
        <v>19</v>
      </c>
      <c r="I85" s="22">
        <f>SUM(J85:L85)</f>
        <v>52127.801200000002</v>
      </c>
      <c r="J85" s="22">
        <f>17402-78.1988</f>
        <v>17323.801200000002</v>
      </c>
      <c r="K85" s="22">
        <f>17402</f>
        <v>17402</v>
      </c>
      <c r="L85" s="22">
        <f>17402</f>
        <v>17402</v>
      </c>
      <c r="M85" s="23"/>
    </row>
    <row r="86" spans="1:13" ht="15.75" customHeight="1" x14ac:dyDescent="0.25">
      <c r="A86" s="63" t="s">
        <v>157</v>
      </c>
      <c r="B86" s="63"/>
      <c r="C86" s="63"/>
      <c r="D86" s="63"/>
      <c r="E86" s="63"/>
      <c r="F86" s="63"/>
      <c r="G86" s="63"/>
      <c r="H86" s="21" t="s">
        <v>16</v>
      </c>
      <c r="I86" s="22">
        <f>I80</f>
        <v>112091.3012</v>
      </c>
      <c r="J86" s="22">
        <f>J80</f>
        <v>38379.701200000003</v>
      </c>
      <c r="K86" s="22">
        <f>K80</f>
        <v>36965</v>
      </c>
      <c r="L86" s="22">
        <f>L80</f>
        <v>36746.6</v>
      </c>
      <c r="M86" s="4"/>
    </row>
    <row r="87" spans="1:13" ht="46.5" customHeight="1" x14ac:dyDescent="0.25">
      <c r="A87" s="63"/>
      <c r="B87" s="63"/>
      <c r="C87" s="63"/>
      <c r="D87" s="63"/>
      <c r="E87" s="63"/>
      <c r="F87" s="63"/>
      <c r="G87" s="63"/>
      <c r="H87" s="21" t="s">
        <v>19</v>
      </c>
      <c r="I87" s="22">
        <f>I82+I83+I84+I85</f>
        <v>112091.3012</v>
      </c>
      <c r="J87" s="34">
        <f t="shared" ref="J87:L87" si="11">J82+J83+J84+J85</f>
        <v>38379.701200000003</v>
      </c>
      <c r="K87" s="34">
        <f t="shared" si="11"/>
        <v>36965</v>
      </c>
      <c r="L87" s="34">
        <f t="shared" si="11"/>
        <v>36746.6</v>
      </c>
      <c r="M87" s="4"/>
    </row>
    <row r="88" spans="1:13" ht="26.25" customHeight="1" x14ac:dyDescent="0.25">
      <c r="A88" s="62" t="s">
        <v>158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4"/>
    </row>
    <row r="89" spans="1:13" ht="37.5" customHeight="1" x14ac:dyDescent="0.25">
      <c r="A89" s="62" t="s">
        <v>190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4"/>
    </row>
    <row r="90" spans="1:13" ht="32.25" customHeight="1" x14ac:dyDescent="0.25">
      <c r="A90" s="62" t="s">
        <v>159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4"/>
    </row>
    <row r="91" spans="1:13" ht="48" customHeight="1" x14ac:dyDescent="0.25">
      <c r="A91" s="62" t="s">
        <v>160</v>
      </c>
      <c r="B91" s="21" t="s">
        <v>68</v>
      </c>
      <c r="C91" s="21"/>
      <c r="D91" s="21">
        <v>732</v>
      </c>
      <c r="E91" s="12" t="s">
        <v>25</v>
      </c>
      <c r="F91" s="21" t="s">
        <v>66</v>
      </c>
      <c r="G91" s="12" t="s">
        <v>15</v>
      </c>
      <c r="H91" s="21" t="s">
        <v>16</v>
      </c>
      <c r="I91" s="22">
        <f>I92</f>
        <v>197911.47900000002</v>
      </c>
      <c r="J91" s="22">
        <f>J92</f>
        <v>65889.27900000001</v>
      </c>
      <c r="K91" s="22">
        <f>K92</f>
        <v>66011.100000000006</v>
      </c>
      <c r="L91" s="22">
        <f>L92</f>
        <v>66011.100000000006</v>
      </c>
      <c r="M91" s="4"/>
    </row>
    <row r="92" spans="1:13" ht="63.75" customHeight="1" x14ac:dyDescent="0.25">
      <c r="A92" s="62"/>
      <c r="B92" s="21" t="s">
        <v>70</v>
      </c>
      <c r="C92" s="21" t="s">
        <v>60</v>
      </c>
      <c r="D92" s="21">
        <v>732</v>
      </c>
      <c r="E92" s="12" t="s">
        <v>25</v>
      </c>
      <c r="F92" s="21" t="s">
        <v>35</v>
      </c>
      <c r="G92" s="12" t="s">
        <v>15</v>
      </c>
      <c r="H92" s="21" t="s">
        <v>16</v>
      </c>
      <c r="I92" s="22">
        <f>SUM(J92:L92)</f>
        <v>197911.47900000002</v>
      </c>
      <c r="J92" s="22">
        <f>J93+J96+J94</f>
        <v>65889.27900000001</v>
      </c>
      <c r="K92" s="42">
        <f t="shared" ref="K92:L92" si="12">K93+K96+K94</f>
        <v>66011.100000000006</v>
      </c>
      <c r="L92" s="42">
        <f t="shared" si="12"/>
        <v>66011.100000000006</v>
      </c>
      <c r="M92" s="4"/>
    </row>
    <row r="93" spans="1:13" ht="66" customHeight="1" x14ac:dyDescent="0.25">
      <c r="A93" s="60" t="s">
        <v>86</v>
      </c>
      <c r="B93" s="58" t="s">
        <v>71</v>
      </c>
      <c r="C93" s="58"/>
      <c r="D93" s="58">
        <v>732</v>
      </c>
      <c r="E93" s="60" t="s">
        <v>25</v>
      </c>
      <c r="F93" s="58" t="s">
        <v>36</v>
      </c>
      <c r="G93" s="36" t="s">
        <v>101</v>
      </c>
      <c r="H93" s="21" t="s">
        <v>19</v>
      </c>
      <c r="I93" s="22">
        <f>SUM(J93:L93)</f>
        <v>190928.3</v>
      </c>
      <c r="J93" s="22">
        <v>63506.1</v>
      </c>
      <c r="K93" s="22">
        <f>63711.1</f>
        <v>63711.1</v>
      </c>
      <c r="L93" s="22">
        <f>63711.1</f>
        <v>63711.1</v>
      </c>
      <c r="M93" s="4"/>
    </row>
    <row r="94" spans="1:13" s="41" customFormat="1" ht="66" customHeight="1" x14ac:dyDescent="0.25">
      <c r="A94" s="61"/>
      <c r="B94" s="59"/>
      <c r="C94" s="66"/>
      <c r="D94" s="66"/>
      <c r="E94" s="67"/>
      <c r="F94" s="66"/>
      <c r="G94" s="36" t="s">
        <v>202</v>
      </c>
      <c r="H94" s="39" t="s">
        <v>19</v>
      </c>
      <c r="I94" s="42">
        <f>SUM(J94:L94)</f>
        <v>83.179000000000002</v>
      </c>
      <c r="J94" s="42">
        <f>83.179</f>
        <v>83.179000000000002</v>
      </c>
      <c r="K94" s="42">
        <f>0</f>
        <v>0</v>
      </c>
      <c r="L94" s="42">
        <f>0</f>
        <v>0</v>
      </c>
      <c r="M94" s="4"/>
    </row>
    <row r="95" spans="1:13" s="30" customFormat="1" ht="66" customHeight="1" x14ac:dyDescent="0.25">
      <c r="A95" s="28"/>
      <c r="B95" s="29" t="s">
        <v>196</v>
      </c>
      <c r="C95" s="59"/>
      <c r="D95" s="59"/>
      <c r="E95" s="61"/>
      <c r="F95" s="59"/>
      <c r="G95" s="36" t="s">
        <v>101</v>
      </c>
      <c r="H95" s="29" t="s">
        <v>19</v>
      </c>
      <c r="I95" s="31">
        <f>SUM(J95:L95)</f>
        <v>1000</v>
      </c>
      <c r="J95" s="31">
        <v>1000</v>
      </c>
      <c r="K95" s="31">
        <v>0</v>
      </c>
      <c r="L95" s="31">
        <v>0</v>
      </c>
      <c r="M95" s="4"/>
    </row>
    <row r="96" spans="1:13" s="11" customFormat="1" ht="54" customHeight="1" x14ac:dyDescent="0.25">
      <c r="A96" s="12" t="s">
        <v>97</v>
      </c>
      <c r="B96" s="21" t="s">
        <v>72</v>
      </c>
      <c r="C96" s="21"/>
      <c r="D96" s="21">
        <v>732</v>
      </c>
      <c r="E96" s="12" t="s">
        <v>25</v>
      </c>
      <c r="F96" s="21" t="s">
        <v>37</v>
      </c>
      <c r="G96" s="12" t="s">
        <v>24</v>
      </c>
      <c r="H96" s="21" t="s">
        <v>19</v>
      </c>
      <c r="I96" s="22">
        <f>SUM(J96:L96)</f>
        <v>6900</v>
      </c>
      <c r="J96" s="22">
        <v>2300</v>
      </c>
      <c r="K96" s="22">
        <v>2300</v>
      </c>
      <c r="L96" s="22">
        <v>2300</v>
      </c>
      <c r="M96" s="4"/>
    </row>
    <row r="97" spans="1:13" ht="30" customHeight="1" x14ac:dyDescent="0.25">
      <c r="A97" s="69" t="s">
        <v>161</v>
      </c>
      <c r="B97" s="70"/>
      <c r="C97" s="70"/>
      <c r="D97" s="70"/>
      <c r="E97" s="70"/>
      <c r="F97" s="70"/>
      <c r="G97" s="71"/>
      <c r="H97" s="21" t="s">
        <v>16</v>
      </c>
      <c r="I97" s="22">
        <f>I91</f>
        <v>197911.47900000002</v>
      </c>
      <c r="J97" s="22">
        <f>J91</f>
        <v>65889.27900000001</v>
      </c>
      <c r="K97" s="22">
        <f>K91</f>
        <v>66011.100000000006</v>
      </c>
      <c r="L97" s="22">
        <f>L91</f>
        <v>66011.100000000006</v>
      </c>
      <c r="M97" s="4"/>
    </row>
    <row r="98" spans="1:13" ht="30" x14ac:dyDescent="0.25">
      <c r="A98" s="72"/>
      <c r="B98" s="73"/>
      <c r="C98" s="73"/>
      <c r="D98" s="73"/>
      <c r="E98" s="73"/>
      <c r="F98" s="73"/>
      <c r="G98" s="74"/>
      <c r="H98" s="21" t="s">
        <v>19</v>
      </c>
      <c r="I98" s="22">
        <f>I93+I96+I94</f>
        <v>197911.47899999999</v>
      </c>
      <c r="J98" s="42">
        <f t="shared" ref="J98:L98" si="13">J93+J96+J94</f>
        <v>65889.27900000001</v>
      </c>
      <c r="K98" s="42">
        <f t="shared" si="13"/>
        <v>66011.100000000006</v>
      </c>
      <c r="L98" s="42">
        <f t="shared" si="13"/>
        <v>66011.100000000006</v>
      </c>
      <c r="M98" s="4"/>
    </row>
    <row r="99" spans="1:13" x14ac:dyDescent="0.25">
      <c r="A99" s="62" t="s">
        <v>162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4"/>
    </row>
    <row r="100" spans="1:13" ht="42" customHeight="1" x14ac:dyDescent="0.25">
      <c r="A100" s="62" t="s">
        <v>191</v>
      </c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4"/>
    </row>
    <row r="101" spans="1:13" ht="15" customHeight="1" x14ac:dyDescent="0.25">
      <c r="A101" s="62" t="s">
        <v>163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4"/>
    </row>
    <row r="102" spans="1:13" x14ac:dyDescent="0.25">
      <c r="A102" s="62" t="s">
        <v>164</v>
      </c>
      <c r="B102" s="12" t="s">
        <v>65</v>
      </c>
      <c r="C102" s="12"/>
      <c r="D102" s="21">
        <v>732</v>
      </c>
      <c r="E102" s="12" t="s">
        <v>25</v>
      </c>
      <c r="F102" s="21" t="s">
        <v>38</v>
      </c>
      <c r="G102" s="12" t="s">
        <v>15</v>
      </c>
      <c r="H102" s="21" t="s">
        <v>16</v>
      </c>
      <c r="I102" s="22">
        <f>I103</f>
        <v>22797.769799999998</v>
      </c>
      <c r="J102" s="22">
        <f>J103</f>
        <v>8281.2000000000007</v>
      </c>
      <c r="K102" s="22">
        <f>K103</f>
        <v>6262.0743999999995</v>
      </c>
      <c r="L102" s="22">
        <f>L103</f>
        <v>8254.4953999999998</v>
      </c>
      <c r="M102" s="4"/>
    </row>
    <row r="103" spans="1:13" ht="60" x14ac:dyDescent="0.25">
      <c r="A103" s="62"/>
      <c r="B103" s="21" t="s">
        <v>69</v>
      </c>
      <c r="C103" s="21" t="s">
        <v>58</v>
      </c>
      <c r="D103" s="21">
        <v>732</v>
      </c>
      <c r="E103" s="12" t="s">
        <v>25</v>
      </c>
      <c r="F103" s="21" t="s">
        <v>38</v>
      </c>
      <c r="G103" s="12" t="s">
        <v>15</v>
      </c>
      <c r="H103" s="21" t="s">
        <v>16</v>
      </c>
      <c r="I103" s="22">
        <f>I104+I105+I107+I106</f>
        <v>22797.769799999998</v>
      </c>
      <c r="J103" s="42">
        <f t="shared" ref="J103:L103" si="14">J104+J105+J107+J106</f>
        <v>8281.2000000000007</v>
      </c>
      <c r="K103" s="42">
        <f t="shared" si="14"/>
        <v>6262.0743999999995</v>
      </c>
      <c r="L103" s="42">
        <f t="shared" si="14"/>
        <v>8254.4953999999998</v>
      </c>
      <c r="M103" s="4"/>
    </row>
    <row r="104" spans="1:13" ht="30" x14ac:dyDescent="0.25">
      <c r="A104" s="60" t="s">
        <v>165</v>
      </c>
      <c r="B104" s="58" t="s">
        <v>39</v>
      </c>
      <c r="C104" s="58"/>
      <c r="D104" s="58">
        <v>732</v>
      </c>
      <c r="E104" s="60" t="s">
        <v>25</v>
      </c>
      <c r="F104" s="58" t="s">
        <v>41</v>
      </c>
      <c r="G104" s="12" t="s">
        <v>24</v>
      </c>
      <c r="H104" s="21" t="s">
        <v>19</v>
      </c>
      <c r="I104" s="22">
        <f>SUM(J104:L104)</f>
        <v>750</v>
      </c>
      <c r="J104" s="22">
        <v>250</v>
      </c>
      <c r="K104" s="22">
        <v>250</v>
      </c>
      <c r="L104" s="22">
        <v>250</v>
      </c>
      <c r="M104" s="4"/>
    </row>
    <row r="105" spans="1:13" ht="30" x14ac:dyDescent="0.25">
      <c r="A105" s="67"/>
      <c r="B105" s="66"/>
      <c r="C105" s="66"/>
      <c r="D105" s="66"/>
      <c r="E105" s="67"/>
      <c r="F105" s="66"/>
      <c r="G105" s="12" t="s">
        <v>84</v>
      </c>
      <c r="H105" s="21" t="s">
        <v>19</v>
      </c>
      <c r="I105" s="22">
        <f>SUM(J105:L105)</f>
        <v>12624</v>
      </c>
      <c r="J105" s="22">
        <f>4208</f>
        <v>4208</v>
      </c>
      <c r="K105" s="22">
        <f>4208</f>
        <v>4208</v>
      </c>
      <c r="L105" s="22">
        <f>4208</f>
        <v>4208</v>
      </c>
      <c r="M105" s="4"/>
    </row>
    <row r="106" spans="1:13" s="41" customFormat="1" ht="30" x14ac:dyDescent="0.25">
      <c r="A106" s="61"/>
      <c r="B106" s="59"/>
      <c r="C106" s="59"/>
      <c r="D106" s="59"/>
      <c r="E106" s="61"/>
      <c r="F106" s="59"/>
      <c r="G106" s="36" t="s">
        <v>203</v>
      </c>
      <c r="H106" s="39" t="s">
        <v>19</v>
      </c>
      <c r="I106" s="42">
        <f>SUM(J106:L106)</f>
        <v>4</v>
      </c>
      <c r="J106" s="42">
        <f>4</f>
        <v>4</v>
      </c>
      <c r="K106" s="42">
        <v>0</v>
      </c>
      <c r="L106" s="42">
        <v>0</v>
      </c>
      <c r="M106" s="4"/>
    </row>
    <row r="107" spans="1:13" ht="30" x14ac:dyDescent="0.25">
      <c r="A107" s="12" t="s">
        <v>166</v>
      </c>
      <c r="B107" s="21" t="s">
        <v>40</v>
      </c>
      <c r="C107" s="21"/>
      <c r="D107" s="21">
        <v>732</v>
      </c>
      <c r="E107" s="12" t="s">
        <v>25</v>
      </c>
      <c r="F107" s="21" t="s">
        <v>42</v>
      </c>
      <c r="G107" s="12" t="s">
        <v>43</v>
      </c>
      <c r="H107" s="21" t="s">
        <v>19</v>
      </c>
      <c r="I107" s="22">
        <f>SUM(J107:L107)</f>
        <v>9419.7697999999982</v>
      </c>
      <c r="J107" s="22">
        <f>3819.2</f>
        <v>3819.2</v>
      </c>
      <c r="K107" s="22">
        <f>2261.6-33.6-0.0046-423.921</f>
        <v>1804.0743999999997</v>
      </c>
      <c r="L107" s="22">
        <f>3830.1-33.6-0.0046</f>
        <v>3796.4953999999998</v>
      </c>
      <c r="M107" s="4"/>
    </row>
    <row r="108" spans="1:13" x14ac:dyDescent="0.25">
      <c r="A108" s="63" t="s">
        <v>167</v>
      </c>
      <c r="B108" s="63"/>
      <c r="C108" s="63"/>
      <c r="D108" s="63"/>
      <c r="E108" s="63"/>
      <c r="F108" s="63"/>
      <c r="G108" s="63"/>
      <c r="H108" s="21" t="s">
        <v>16</v>
      </c>
      <c r="I108" s="22">
        <f>I102</f>
        <v>22797.769799999998</v>
      </c>
      <c r="J108" s="22">
        <f>J102</f>
        <v>8281.2000000000007</v>
      </c>
      <c r="K108" s="22">
        <f>K102</f>
        <v>6262.0743999999995</v>
      </c>
      <c r="L108" s="22">
        <f>L102</f>
        <v>8254.4953999999998</v>
      </c>
      <c r="M108" s="4"/>
    </row>
    <row r="109" spans="1:13" ht="30" x14ac:dyDescent="0.25">
      <c r="A109" s="63"/>
      <c r="B109" s="63"/>
      <c r="C109" s="63"/>
      <c r="D109" s="63"/>
      <c r="E109" s="63"/>
      <c r="F109" s="63"/>
      <c r="G109" s="63"/>
      <c r="H109" s="21" t="s">
        <v>19</v>
      </c>
      <c r="I109" s="22">
        <f>I107+I105+I104+I106</f>
        <v>22797.769799999998</v>
      </c>
      <c r="J109" s="42">
        <f>J107+J105+J104+J106</f>
        <v>8281.2000000000007</v>
      </c>
      <c r="K109" s="42">
        <f t="shared" ref="K109:L109" si="15">K107+K105+K104+K106</f>
        <v>6262.0743999999995</v>
      </c>
      <c r="L109" s="42">
        <f t="shared" si="15"/>
        <v>8254.4953999999998</v>
      </c>
      <c r="M109" s="4"/>
    </row>
    <row r="110" spans="1:13" x14ac:dyDescent="0.25">
      <c r="A110" s="63" t="s">
        <v>186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4"/>
    </row>
    <row r="111" spans="1:13" ht="30" customHeight="1" x14ac:dyDescent="0.25">
      <c r="A111" s="62" t="s">
        <v>192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4"/>
    </row>
    <row r="112" spans="1:13" x14ac:dyDescent="0.25">
      <c r="A112" s="62" t="s">
        <v>168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4"/>
    </row>
    <row r="113" spans="1:12" ht="48" customHeight="1" x14ac:dyDescent="0.25">
      <c r="A113" s="62" t="s">
        <v>169</v>
      </c>
      <c r="B113" s="21" t="s">
        <v>65</v>
      </c>
      <c r="C113" s="21"/>
      <c r="D113" s="21">
        <v>732</v>
      </c>
      <c r="E113" s="12" t="s">
        <v>45</v>
      </c>
      <c r="F113" s="21" t="s">
        <v>66</v>
      </c>
      <c r="G113" s="12" t="s">
        <v>15</v>
      </c>
      <c r="H113" s="21" t="s">
        <v>16</v>
      </c>
      <c r="I113" s="22">
        <f t="shared" ref="I113:L114" si="16">I114</f>
        <v>1875</v>
      </c>
      <c r="J113" s="22">
        <f t="shared" si="16"/>
        <v>625</v>
      </c>
      <c r="K113" s="22">
        <f t="shared" si="16"/>
        <v>625</v>
      </c>
      <c r="L113" s="22">
        <f t="shared" si="16"/>
        <v>625</v>
      </c>
    </row>
    <row r="114" spans="1:12" ht="60" x14ac:dyDescent="0.25">
      <c r="A114" s="62"/>
      <c r="B114" s="21" t="s">
        <v>79</v>
      </c>
      <c r="C114" s="21" t="s">
        <v>58</v>
      </c>
      <c r="D114" s="21">
        <v>732</v>
      </c>
      <c r="E114" s="12" t="s">
        <v>45</v>
      </c>
      <c r="F114" s="21" t="s">
        <v>44</v>
      </c>
      <c r="G114" s="12" t="s">
        <v>15</v>
      </c>
      <c r="H114" s="21" t="s">
        <v>16</v>
      </c>
      <c r="I114" s="22">
        <f t="shared" si="16"/>
        <v>1875</v>
      </c>
      <c r="J114" s="22">
        <f t="shared" si="16"/>
        <v>625</v>
      </c>
      <c r="K114" s="22">
        <f t="shared" si="16"/>
        <v>625</v>
      </c>
      <c r="L114" s="22">
        <f t="shared" si="16"/>
        <v>625</v>
      </c>
    </row>
    <row r="115" spans="1:12" ht="39.75" customHeight="1" x14ac:dyDescent="0.25">
      <c r="A115" s="12" t="s">
        <v>170</v>
      </c>
      <c r="B115" s="21" t="s">
        <v>46</v>
      </c>
      <c r="C115" s="21"/>
      <c r="D115" s="21">
        <v>732</v>
      </c>
      <c r="E115" s="12" t="s">
        <v>45</v>
      </c>
      <c r="F115" s="21" t="s">
        <v>47</v>
      </c>
      <c r="G115" s="12" t="s">
        <v>24</v>
      </c>
      <c r="H115" s="21" t="s">
        <v>19</v>
      </c>
      <c r="I115" s="22">
        <f>SUM(J115:L115)</f>
        <v>1875</v>
      </c>
      <c r="J115" s="22">
        <f>625</f>
        <v>625</v>
      </c>
      <c r="K115" s="22">
        <f>625</f>
        <v>625</v>
      </c>
      <c r="L115" s="22">
        <f>625</f>
        <v>625</v>
      </c>
    </row>
    <row r="116" spans="1:12" ht="21.75" customHeight="1" x14ac:dyDescent="0.25">
      <c r="A116" s="63" t="s">
        <v>171</v>
      </c>
      <c r="B116" s="63"/>
      <c r="C116" s="63"/>
      <c r="D116" s="63"/>
      <c r="E116" s="63"/>
      <c r="F116" s="63"/>
      <c r="G116" s="63"/>
      <c r="H116" s="21" t="s">
        <v>16</v>
      </c>
      <c r="I116" s="22">
        <f>I113</f>
        <v>1875</v>
      </c>
      <c r="J116" s="22">
        <f>J113</f>
        <v>625</v>
      </c>
      <c r="K116" s="22">
        <f>K113</f>
        <v>625</v>
      </c>
      <c r="L116" s="22">
        <f>L113</f>
        <v>625</v>
      </c>
    </row>
    <row r="117" spans="1:12" ht="30" x14ac:dyDescent="0.25">
      <c r="A117" s="63"/>
      <c r="B117" s="63"/>
      <c r="C117" s="63"/>
      <c r="D117" s="63"/>
      <c r="E117" s="63"/>
      <c r="F117" s="63"/>
      <c r="G117" s="63"/>
      <c r="H117" s="21" t="s">
        <v>19</v>
      </c>
      <c r="I117" s="22">
        <f>I115</f>
        <v>1875</v>
      </c>
      <c r="J117" s="22">
        <f>J115</f>
        <v>625</v>
      </c>
      <c r="K117" s="22">
        <f>K115</f>
        <v>625</v>
      </c>
      <c r="L117" s="22">
        <f>L115</f>
        <v>625</v>
      </c>
    </row>
    <row r="118" spans="1:12" ht="40.5" customHeight="1" x14ac:dyDescent="0.25">
      <c r="A118" s="62" t="s">
        <v>194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</row>
    <row r="119" spans="1:12" ht="27" customHeight="1" x14ac:dyDescent="0.25">
      <c r="A119" s="62" t="s">
        <v>193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  <row r="120" spans="1:12" x14ac:dyDescent="0.25">
      <c r="A120" s="62" t="s">
        <v>209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</row>
    <row r="121" spans="1:12" x14ac:dyDescent="0.25">
      <c r="A121" s="62" t="s">
        <v>172</v>
      </c>
      <c r="B121" s="21" t="s">
        <v>75</v>
      </c>
      <c r="C121" s="21"/>
      <c r="D121" s="21">
        <v>732</v>
      </c>
      <c r="E121" s="12" t="s">
        <v>34</v>
      </c>
      <c r="F121" s="21" t="s">
        <v>66</v>
      </c>
      <c r="G121" s="12" t="s">
        <v>15</v>
      </c>
      <c r="H121" s="21" t="s">
        <v>16</v>
      </c>
      <c r="I121" s="22">
        <f>I122</f>
        <v>31721.1</v>
      </c>
      <c r="J121" s="22">
        <f>J122</f>
        <v>10573.699999999999</v>
      </c>
      <c r="K121" s="22">
        <f>K122</f>
        <v>10573.699999999999</v>
      </c>
      <c r="L121" s="22">
        <f>L122</f>
        <v>10573.699999999999</v>
      </c>
    </row>
    <row r="122" spans="1:12" ht="75" x14ac:dyDescent="0.25">
      <c r="A122" s="62"/>
      <c r="B122" s="21" t="s">
        <v>78</v>
      </c>
      <c r="C122" s="21"/>
      <c r="D122" s="21">
        <v>732</v>
      </c>
      <c r="E122" s="12" t="s">
        <v>34</v>
      </c>
      <c r="F122" s="21" t="s">
        <v>48</v>
      </c>
      <c r="G122" s="12" t="s">
        <v>133</v>
      </c>
      <c r="H122" s="21" t="s">
        <v>16</v>
      </c>
      <c r="I122" s="22">
        <f>I123+I124+I125+I126</f>
        <v>31721.1</v>
      </c>
      <c r="J122" s="34">
        <f>J123+J124+J125+J126</f>
        <v>10573.699999999999</v>
      </c>
      <c r="K122" s="34">
        <f t="shared" ref="K122:L122" si="17">K123+K124+K125+K126</f>
        <v>10573.699999999999</v>
      </c>
      <c r="L122" s="34">
        <f t="shared" si="17"/>
        <v>10573.699999999999</v>
      </c>
    </row>
    <row r="123" spans="1:12" ht="45" customHeight="1" x14ac:dyDescent="0.25">
      <c r="A123" s="32" t="s">
        <v>173</v>
      </c>
      <c r="B123" s="33" t="s">
        <v>73</v>
      </c>
      <c r="C123" s="33"/>
      <c r="D123" s="21">
        <v>732</v>
      </c>
      <c r="E123" s="12" t="s">
        <v>34</v>
      </c>
      <c r="F123" s="21" t="s">
        <v>49</v>
      </c>
      <c r="G123" s="12" t="s">
        <v>51</v>
      </c>
      <c r="H123" s="21" t="s">
        <v>19</v>
      </c>
      <c r="I123" s="22">
        <f>SUM(J123:L123)</f>
        <v>10929.599999999999</v>
      </c>
      <c r="J123" s="22">
        <f>3643.2</f>
        <v>3643.2</v>
      </c>
      <c r="K123" s="22">
        <f>3643.2</f>
        <v>3643.2</v>
      </c>
      <c r="L123" s="22">
        <f>3643.2</f>
        <v>3643.2</v>
      </c>
    </row>
    <row r="124" spans="1:12" s="24" customFormat="1" ht="108.75" customHeight="1" x14ac:dyDescent="0.25">
      <c r="A124" s="12" t="s">
        <v>174</v>
      </c>
      <c r="B124" s="21" t="s">
        <v>74</v>
      </c>
      <c r="C124" s="21"/>
      <c r="D124" s="21">
        <v>732</v>
      </c>
      <c r="E124" s="12" t="s">
        <v>34</v>
      </c>
      <c r="F124" s="21" t="s">
        <v>50</v>
      </c>
      <c r="G124" s="12" t="s">
        <v>51</v>
      </c>
      <c r="H124" s="21" t="s">
        <v>19</v>
      </c>
      <c r="I124" s="22">
        <f>SUM(J124:L124)</f>
        <v>4156.5</v>
      </c>
      <c r="J124" s="22">
        <f>1385.5</f>
        <v>1385.5</v>
      </c>
      <c r="K124" s="22">
        <f>1385.5</f>
        <v>1385.5</v>
      </c>
      <c r="L124" s="22">
        <f>1385.5</f>
        <v>1385.5</v>
      </c>
    </row>
    <row r="125" spans="1:12" s="24" customFormat="1" ht="108.75" customHeight="1" x14ac:dyDescent="0.25">
      <c r="A125" s="32" t="s">
        <v>175</v>
      </c>
      <c r="B125" s="33" t="s">
        <v>199</v>
      </c>
      <c r="C125" s="33"/>
      <c r="D125" s="33">
        <v>732</v>
      </c>
      <c r="E125" s="32" t="s">
        <v>34</v>
      </c>
      <c r="F125" s="33" t="s">
        <v>125</v>
      </c>
      <c r="G125" s="32" t="s">
        <v>51</v>
      </c>
      <c r="H125" s="33" t="s">
        <v>18</v>
      </c>
      <c r="I125" s="34">
        <f>SUM(J125:L125)</f>
        <v>15803.099999999999</v>
      </c>
      <c r="J125" s="34">
        <f>5267.7</f>
        <v>5267.7</v>
      </c>
      <c r="K125" s="34">
        <f t="shared" ref="K125:L125" si="18">5267.7</f>
        <v>5267.7</v>
      </c>
      <c r="L125" s="34">
        <f t="shared" si="18"/>
        <v>5267.7</v>
      </c>
    </row>
    <row r="126" spans="1:12" s="16" customFormat="1" ht="75" x14ac:dyDescent="0.25">
      <c r="A126" s="12" t="s">
        <v>175</v>
      </c>
      <c r="B126" s="21" t="s">
        <v>126</v>
      </c>
      <c r="C126" s="21"/>
      <c r="D126" s="21">
        <v>732</v>
      </c>
      <c r="E126" s="12" t="s">
        <v>34</v>
      </c>
      <c r="F126" s="21" t="s">
        <v>127</v>
      </c>
      <c r="G126" s="12" t="s">
        <v>51</v>
      </c>
      <c r="H126" s="21" t="s">
        <v>19</v>
      </c>
      <c r="I126" s="22">
        <f>SUM(J126:L126)</f>
        <v>831.90000000000009</v>
      </c>
      <c r="J126" s="22">
        <f>277.3</f>
        <v>277.3</v>
      </c>
      <c r="K126" s="22">
        <f>277.3</f>
        <v>277.3</v>
      </c>
      <c r="L126" s="22">
        <f>277.3</f>
        <v>277.3</v>
      </c>
    </row>
    <row r="127" spans="1:12" ht="15" customHeight="1" x14ac:dyDescent="0.25">
      <c r="A127" s="63" t="s">
        <v>176</v>
      </c>
      <c r="B127" s="63"/>
      <c r="C127" s="63"/>
      <c r="D127" s="63"/>
      <c r="E127" s="63"/>
      <c r="F127" s="63"/>
      <c r="G127" s="63"/>
      <c r="H127" s="21" t="s">
        <v>16</v>
      </c>
      <c r="I127" s="22">
        <f>I121</f>
        <v>31721.1</v>
      </c>
      <c r="J127" s="34">
        <f t="shared" ref="J127:L127" si="19">J121</f>
        <v>10573.699999999999</v>
      </c>
      <c r="K127" s="34">
        <f t="shared" si="19"/>
        <v>10573.699999999999</v>
      </c>
      <c r="L127" s="34">
        <f t="shared" si="19"/>
        <v>10573.699999999999</v>
      </c>
    </row>
    <row r="128" spans="1:12" s="19" customFormat="1" ht="30" x14ac:dyDescent="0.25">
      <c r="A128" s="63"/>
      <c r="B128" s="63"/>
      <c r="C128" s="63"/>
      <c r="D128" s="63"/>
      <c r="E128" s="63"/>
      <c r="F128" s="63"/>
      <c r="G128" s="63"/>
      <c r="H128" s="21" t="s">
        <v>18</v>
      </c>
      <c r="I128" s="22">
        <f>I125</f>
        <v>15803.099999999999</v>
      </c>
      <c r="J128" s="34">
        <f t="shared" ref="J128:L128" si="20">J125</f>
        <v>5267.7</v>
      </c>
      <c r="K128" s="34">
        <f t="shared" si="20"/>
        <v>5267.7</v>
      </c>
      <c r="L128" s="34">
        <f t="shared" si="20"/>
        <v>5267.7</v>
      </c>
    </row>
    <row r="129" spans="1:12" ht="30" x14ac:dyDescent="0.25">
      <c r="A129" s="63"/>
      <c r="B129" s="63"/>
      <c r="C129" s="63"/>
      <c r="D129" s="63"/>
      <c r="E129" s="63"/>
      <c r="F129" s="63"/>
      <c r="G129" s="63"/>
      <c r="H129" s="21" t="s">
        <v>19</v>
      </c>
      <c r="I129" s="22">
        <f>I124+I123+I126</f>
        <v>15917.999999999998</v>
      </c>
      <c r="J129" s="22">
        <f>J124+J123+J126</f>
        <v>5306</v>
      </c>
      <c r="K129" s="22">
        <f>K124+K123+K126</f>
        <v>5306</v>
      </c>
      <c r="L129" s="22">
        <f>L124+L123+L126</f>
        <v>5306</v>
      </c>
    </row>
    <row r="130" spans="1:12" x14ac:dyDescent="0.25">
      <c r="A130" s="62" t="s">
        <v>187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</row>
    <row r="131" spans="1:12" ht="72" customHeight="1" x14ac:dyDescent="0.25">
      <c r="A131" s="62" t="s">
        <v>195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</row>
    <row r="132" spans="1:12" x14ac:dyDescent="0.25">
      <c r="A132" s="62" t="s">
        <v>177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</row>
    <row r="133" spans="1:12" x14ac:dyDescent="0.25">
      <c r="A133" s="62" t="s">
        <v>178</v>
      </c>
      <c r="B133" s="21" t="s">
        <v>75</v>
      </c>
      <c r="C133" s="21"/>
      <c r="D133" s="21">
        <v>732</v>
      </c>
      <c r="E133" s="12" t="s">
        <v>22</v>
      </c>
      <c r="F133" s="21" t="s">
        <v>52</v>
      </c>
      <c r="G133" s="12" t="s">
        <v>15</v>
      </c>
      <c r="H133" s="21" t="s">
        <v>16</v>
      </c>
      <c r="I133" s="22">
        <f>I134</f>
        <v>222130.75326999999</v>
      </c>
      <c r="J133" s="22">
        <f>J134</f>
        <v>72418.953269999998</v>
      </c>
      <c r="K133" s="22">
        <f>K134</f>
        <v>73959.600000000006</v>
      </c>
      <c r="L133" s="22">
        <f>L134</f>
        <v>75752.2</v>
      </c>
    </row>
    <row r="134" spans="1:12" ht="60" x14ac:dyDescent="0.25">
      <c r="A134" s="62"/>
      <c r="B134" s="21" t="s">
        <v>100</v>
      </c>
      <c r="C134" s="21" t="s">
        <v>61</v>
      </c>
      <c r="D134" s="21">
        <v>732</v>
      </c>
      <c r="E134" s="12" t="s">
        <v>22</v>
      </c>
      <c r="F134" s="21" t="s">
        <v>52</v>
      </c>
      <c r="G134" s="12" t="s">
        <v>15</v>
      </c>
      <c r="H134" s="21" t="s">
        <v>16</v>
      </c>
      <c r="I134" s="22">
        <f>I135+I136+I138+I140</f>
        <v>222130.75326999999</v>
      </c>
      <c r="J134" s="42">
        <f t="shared" ref="J134:L134" si="21">J135+J136+J138+J140</f>
        <v>72418.953269999998</v>
      </c>
      <c r="K134" s="42">
        <f t="shared" si="21"/>
        <v>73959.600000000006</v>
      </c>
      <c r="L134" s="42">
        <f t="shared" si="21"/>
        <v>75752.2</v>
      </c>
    </row>
    <row r="135" spans="1:12" ht="51.75" customHeight="1" x14ac:dyDescent="0.25">
      <c r="A135" s="12" t="s">
        <v>179</v>
      </c>
      <c r="B135" s="21" t="s">
        <v>76</v>
      </c>
      <c r="C135" s="21"/>
      <c r="D135" s="21">
        <v>732</v>
      </c>
      <c r="E135" s="12" t="s">
        <v>53</v>
      </c>
      <c r="F135" s="21" t="s">
        <v>54</v>
      </c>
      <c r="G135" s="12" t="s">
        <v>24</v>
      </c>
      <c r="H135" s="9" t="s">
        <v>19</v>
      </c>
      <c r="I135" s="10">
        <f t="shared" ref="I135:I140" si="22">SUM(J135:L135)</f>
        <v>600</v>
      </c>
      <c r="J135" s="10">
        <v>200</v>
      </c>
      <c r="K135" s="10">
        <v>200</v>
      </c>
      <c r="L135" s="10">
        <v>200</v>
      </c>
    </row>
    <row r="136" spans="1:12" ht="38.25" customHeight="1" x14ac:dyDescent="0.25">
      <c r="A136" s="62" t="s">
        <v>180</v>
      </c>
      <c r="B136" s="63" t="s">
        <v>77</v>
      </c>
      <c r="C136" s="63"/>
      <c r="D136" s="63">
        <v>732</v>
      </c>
      <c r="E136" s="62" t="s">
        <v>20</v>
      </c>
      <c r="F136" s="63" t="s">
        <v>55</v>
      </c>
      <c r="G136" s="62" t="s">
        <v>101</v>
      </c>
      <c r="H136" s="46" t="s">
        <v>19</v>
      </c>
      <c r="I136" s="10">
        <f t="shared" si="22"/>
        <v>220493.8665</v>
      </c>
      <c r="J136" s="10">
        <f>71851.2-669.1335</f>
        <v>71182.066500000001</v>
      </c>
      <c r="K136" s="10">
        <f>73759.6</f>
        <v>73759.600000000006</v>
      </c>
      <c r="L136" s="10">
        <f>75552.2</f>
        <v>75552.2</v>
      </c>
    </row>
    <row r="137" spans="1:12" ht="45" x14ac:dyDescent="0.25">
      <c r="A137" s="62"/>
      <c r="B137" s="63"/>
      <c r="C137" s="63"/>
      <c r="D137" s="63"/>
      <c r="E137" s="62"/>
      <c r="F137" s="63"/>
      <c r="G137" s="62"/>
      <c r="H137" s="46" t="s">
        <v>91</v>
      </c>
      <c r="I137" s="10">
        <f t="shared" si="22"/>
        <v>220393.06649999996</v>
      </c>
      <c r="J137" s="10">
        <f>71148.4665</f>
        <v>71148.466499999995</v>
      </c>
      <c r="K137" s="10">
        <f>73759.6-33.6</f>
        <v>73726</v>
      </c>
      <c r="L137" s="10">
        <f>75552.2-33.6</f>
        <v>75518.599999999991</v>
      </c>
    </row>
    <row r="138" spans="1:12" s="41" customFormat="1" ht="30" x14ac:dyDescent="0.25">
      <c r="A138" s="62"/>
      <c r="B138" s="63"/>
      <c r="C138" s="63"/>
      <c r="D138" s="63"/>
      <c r="E138" s="62"/>
      <c r="F138" s="63"/>
      <c r="G138" s="62" t="s">
        <v>202</v>
      </c>
      <c r="H138" s="46" t="s">
        <v>19</v>
      </c>
      <c r="I138" s="10">
        <f t="shared" si="22"/>
        <v>669.13350000000003</v>
      </c>
      <c r="J138" s="10">
        <f>669.1335</f>
        <v>669.13350000000003</v>
      </c>
      <c r="K138" s="10">
        <f>0</f>
        <v>0</v>
      </c>
      <c r="L138" s="10">
        <f>0</f>
        <v>0</v>
      </c>
    </row>
    <row r="139" spans="1:12" s="41" customFormat="1" ht="45" x14ac:dyDescent="0.25">
      <c r="A139" s="62"/>
      <c r="B139" s="63"/>
      <c r="C139" s="63"/>
      <c r="D139" s="63"/>
      <c r="E139" s="62"/>
      <c r="F139" s="63"/>
      <c r="G139" s="62"/>
      <c r="H139" s="46" t="s">
        <v>91</v>
      </c>
      <c r="I139" s="10">
        <f t="shared" si="22"/>
        <v>669.13350000000003</v>
      </c>
      <c r="J139" s="10">
        <f>669.1335</f>
        <v>669.13350000000003</v>
      </c>
      <c r="K139" s="10">
        <f>0</f>
        <v>0</v>
      </c>
      <c r="L139" s="10">
        <f>0</f>
        <v>0</v>
      </c>
    </row>
    <row r="140" spans="1:12" s="41" customFormat="1" ht="30" x14ac:dyDescent="0.25">
      <c r="A140" s="43" t="s">
        <v>204</v>
      </c>
      <c r="B140" s="44" t="s">
        <v>205</v>
      </c>
      <c r="C140" s="44"/>
      <c r="D140" s="44">
        <v>732</v>
      </c>
      <c r="E140" s="43" t="s">
        <v>20</v>
      </c>
      <c r="F140" s="44" t="s">
        <v>206</v>
      </c>
      <c r="G140" s="43" t="s">
        <v>202</v>
      </c>
      <c r="H140" s="46" t="s">
        <v>19</v>
      </c>
      <c r="I140" s="10">
        <f t="shared" si="22"/>
        <v>367.75326999999999</v>
      </c>
      <c r="J140" s="10">
        <f>367.75327</f>
        <v>367.75326999999999</v>
      </c>
      <c r="K140" s="10">
        <f>0</f>
        <v>0</v>
      </c>
      <c r="L140" s="10">
        <f>0</f>
        <v>0</v>
      </c>
    </row>
    <row r="141" spans="1:12" s="47" customFormat="1" x14ac:dyDescent="0.25">
      <c r="A141" s="62" t="s">
        <v>181</v>
      </c>
      <c r="B141" s="62"/>
      <c r="C141" s="62"/>
      <c r="D141" s="62"/>
      <c r="E141" s="62"/>
      <c r="F141" s="62"/>
      <c r="G141" s="62"/>
      <c r="H141" s="52" t="s">
        <v>11</v>
      </c>
      <c r="I141" s="45">
        <f>I133</f>
        <v>222130.75326999999</v>
      </c>
      <c r="J141" s="45">
        <f t="shared" ref="J141:L141" si="23">J133</f>
        <v>72418.953269999998</v>
      </c>
      <c r="K141" s="45">
        <f t="shared" si="23"/>
        <v>73959.600000000006</v>
      </c>
      <c r="L141" s="45">
        <f t="shared" si="23"/>
        <v>75752.2</v>
      </c>
    </row>
    <row r="142" spans="1:12" s="47" customFormat="1" ht="30" x14ac:dyDescent="0.25">
      <c r="A142" s="62"/>
      <c r="B142" s="62"/>
      <c r="C142" s="62"/>
      <c r="D142" s="62"/>
      <c r="E142" s="62"/>
      <c r="F142" s="62"/>
      <c r="G142" s="62"/>
      <c r="H142" s="52" t="s">
        <v>19</v>
      </c>
      <c r="I142" s="45">
        <f>I135+I136+I138+I140</f>
        <v>222130.75326999999</v>
      </c>
      <c r="J142" s="45">
        <f t="shared" ref="J142:L142" si="24">J135+J136+J138+J140</f>
        <v>72418.953269999998</v>
      </c>
      <c r="K142" s="45">
        <f t="shared" si="24"/>
        <v>73959.600000000006</v>
      </c>
      <c r="L142" s="45">
        <f t="shared" si="24"/>
        <v>75752.2</v>
      </c>
    </row>
    <row r="143" spans="1:12" s="47" customFormat="1" ht="45" x14ac:dyDescent="0.25">
      <c r="A143" s="62"/>
      <c r="B143" s="62"/>
      <c r="C143" s="62"/>
      <c r="D143" s="62"/>
      <c r="E143" s="62"/>
      <c r="F143" s="62"/>
      <c r="G143" s="62"/>
      <c r="H143" s="52" t="s">
        <v>91</v>
      </c>
      <c r="I143" s="45">
        <f>I137+I139</f>
        <v>221062.19999999995</v>
      </c>
      <c r="J143" s="45">
        <f t="shared" ref="J143:L143" si="25">J137+J139</f>
        <v>71817.599999999991</v>
      </c>
      <c r="K143" s="45">
        <f t="shared" si="25"/>
        <v>73726</v>
      </c>
      <c r="L143" s="45">
        <f t="shared" si="25"/>
        <v>75518.599999999991</v>
      </c>
    </row>
    <row r="144" spans="1:12" s="41" customFormat="1" x14ac:dyDescent="0.25">
      <c r="A144" s="94" t="s">
        <v>207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6"/>
    </row>
    <row r="145" spans="1:12" s="41" customFormat="1" x14ac:dyDescent="0.25">
      <c r="A145" s="94" t="s">
        <v>208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6"/>
    </row>
    <row r="146" spans="1:12" s="41" customFormat="1" x14ac:dyDescent="0.25">
      <c r="A146" s="94" t="s">
        <v>223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6"/>
    </row>
    <row r="147" spans="1:12" s="41" customFormat="1" x14ac:dyDescent="0.25">
      <c r="A147" s="60" t="s">
        <v>210</v>
      </c>
      <c r="B147" s="37" t="s">
        <v>211</v>
      </c>
      <c r="C147" s="37"/>
      <c r="D147" s="37">
        <v>732</v>
      </c>
      <c r="E147" s="38" t="s">
        <v>22</v>
      </c>
      <c r="F147" s="37" t="s">
        <v>66</v>
      </c>
      <c r="G147" s="38" t="s">
        <v>15</v>
      </c>
      <c r="H147" s="40" t="s">
        <v>16</v>
      </c>
      <c r="I147" s="10">
        <f>I148</f>
        <v>20.011999999999997</v>
      </c>
      <c r="J147" s="10">
        <f>J148</f>
        <v>20.011999999999997</v>
      </c>
      <c r="K147" s="10">
        <f t="shared" ref="K147:L147" si="26">K148</f>
        <v>0</v>
      </c>
      <c r="L147" s="10">
        <f t="shared" si="26"/>
        <v>0</v>
      </c>
    </row>
    <row r="148" spans="1:12" s="41" customFormat="1" ht="75" x14ac:dyDescent="0.25">
      <c r="A148" s="61"/>
      <c r="B148" s="37" t="s">
        <v>222</v>
      </c>
      <c r="C148" s="37"/>
      <c r="D148" s="37">
        <v>732</v>
      </c>
      <c r="E148" s="38" t="s">
        <v>14</v>
      </c>
      <c r="F148" s="37" t="s">
        <v>66</v>
      </c>
      <c r="G148" s="38" t="s">
        <v>15</v>
      </c>
      <c r="H148" s="40" t="s">
        <v>16</v>
      </c>
      <c r="I148" s="10">
        <f>SUM(I149:I151)</f>
        <v>20.011999999999997</v>
      </c>
      <c r="J148" s="10">
        <f t="shared" ref="J148:L148" si="27">SUM(J149:J151)</f>
        <v>20.011999999999997</v>
      </c>
      <c r="K148" s="10">
        <f t="shared" si="27"/>
        <v>0</v>
      </c>
      <c r="L148" s="10">
        <f t="shared" si="27"/>
        <v>0</v>
      </c>
    </row>
    <row r="149" spans="1:12" s="41" customFormat="1" ht="75" customHeight="1" x14ac:dyDescent="0.25">
      <c r="A149" s="60" t="s">
        <v>214</v>
      </c>
      <c r="B149" s="58" t="s">
        <v>226</v>
      </c>
      <c r="C149" s="58"/>
      <c r="D149" s="58">
        <v>732</v>
      </c>
      <c r="E149" s="60" t="s">
        <v>14</v>
      </c>
      <c r="F149" s="58" t="s">
        <v>212</v>
      </c>
      <c r="G149" s="38" t="s">
        <v>213</v>
      </c>
      <c r="H149" s="40" t="s">
        <v>56</v>
      </c>
      <c r="I149" s="10">
        <f>SUM(J149:L149)</f>
        <v>20</v>
      </c>
      <c r="J149" s="10">
        <f>20</f>
        <v>20</v>
      </c>
      <c r="K149" s="10">
        <v>0</v>
      </c>
      <c r="L149" s="10">
        <v>0</v>
      </c>
    </row>
    <row r="150" spans="1:12" s="41" customFormat="1" ht="30" x14ac:dyDescent="0.25">
      <c r="A150" s="61"/>
      <c r="B150" s="59"/>
      <c r="C150" s="59"/>
      <c r="D150" s="59"/>
      <c r="E150" s="61"/>
      <c r="F150" s="59"/>
      <c r="G150" s="38" t="s">
        <v>24</v>
      </c>
      <c r="H150" s="46" t="s">
        <v>56</v>
      </c>
      <c r="I150" s="10">
        <f t="shared" ref="I150:I151" si="28">SUM(J150:L150)</f>
        <v>9.9000000000000008E-3</v>
      </c>
      <c r="J150" s="10">
        <f>0.0099</f>
        <v>9.9000000000000008E-3</v>
      </c>
      <c r="K150" s="10">
        <v>0</v>
      </c>
      <c r="L150" s="10">
        <v>0</v>
      </c>
    </row>
    <row r="151" spans="1:12" s="41" customFormat="1" ht="30" x14ac:dyDescent="0.25">
      <c r="A151" s="38" t="s">
        <v>215</v>
      </c>
      <c r="B151" s="37" t="s">
        <v>224</v>
      </c>
      <c r="C151" s="37"/>
      <c r="D151" s="37">
        <v>732</v>
      </c>
      <c r="E151" s="38" t="s">
        <v>14</v>
      </c>
      <c r="F151" s="37" t="s">
        <v>212</v>
      </c>
      <c r="G151" s="38" t="s">
        <v>24</v>
      </c>
      <c r="H151" s="46" t="s">
        <v>56</v>
      </c>
      <c r="I151" s="10">
        <f t="shared" si="28"/>
        <v>2.0999999999999999E-3</v>
      </c>
      <c r="J151" s="10">
        <f>0.0021</f>
        <v>2.0999999999999999E-3</v>
      </c>
      <c r="K151" s="10">
        <v>0</v>
      </c>
      <c r="L151" s="10">
        <v>0</v>
      </c>
    </row>
    <row r="152" spans="1:12" s="47" customFormat="1" x14ac:dyDescent="0.25">
      <c r="A152" s="88" t="s">
        <v>216</v>
      </c>
      <c r="B152" s="89"/>
      <c r="C152" s="89"/>
      <c r="D152" s="89"/>
      <c r="E152" s="89"/>
      <c r="F152" s="89"/>
      <c r="G152" s="90"/>
      <c r="H152" s="46" t="s">
        <v>11</v>
      </c>
      <c r="I152" s="10">
        <f>I147</f>
        <v>20.011999999999997</v>
      </c>
      <c r="J152" s="10">
        <f t="shared" ref="J152:L152" si="29">J147</f>
        <v>20.011999999999997</v>
      </c>
      <c r="K152" s="10">
        <f t="shared" si="29"/>
        <v>0</v>
      </c>
      <c r="L152" s="10">
        <f t="shared" si="29"/>
        <v>0</v>
      </c>
    </row>
    <row r="153" spans="1:12" s="47" customFormat="1" ht="30" x14ac:dyDescent="0.25">
      <c r="A153" s="91"/>
      <c r="B153" s="92"/>
      <c r="C153" s="92"/>
      <c r="D153" s="92"/>
      <c r="E153" s="92"/>
      <c r="F153" s="92"/>
      <c r="G153" s="93"/>
      <c r="H153" s="46" t="s">
        <v>56</v>
      </c>
      <c r="I153" s="10">
        <f>I149+I150+I151</f>
        <v>20.011999999999997</v>
      </c>
      <c r="J153" s="10">
        <f t="shared" ref="J153:L153" si="30">J149+J150+J151</f>
        <v>20.011999999999997</v>
      </c>
      <c r="K153" s="10">
        <f t="shared" si="30"/>
        <v>0</v>
      </c>
      <c r="L153" s="10">
        <f t="shared" si="30"/>
        <v>0</v>
      </c>
    </row>
    <row r="154" spans="1:12" ht="15" customHeight="1" x14ac:dyDescent="0.25">
      <c r="A154" s="76" t="s">
        <v>57</v>
      </c>
      <c r="B154" s="77"/>
      <c r="C154" s="77"/>
      <c r="D154" s="77"/>
      <c r="E154" s="77"/>
      <c r="F154" s="77"/>
      <c r="G154" s="78"/>
      <c r="H154" s="46" t="s">
        <v>11</v>
      </c>
      <c r="I154" s="10">
        <f>I156+I155+I158</f>
        <v>1054571.53687</v>
      </c>
      <c r="J154" s="10">
        <f>J156+J155+J158</f>
        <v>464926.83687</v>
      </c>
      <c r="K154" s="10">
        <f>K156+K155+K158</f>
        <v>306178.59999999998</v>
      </c>
      <c r="L154" s="10">
        <f>L156+L155+L158</f>
        <v>283466.09999999998</v>
      </c>
    </row>
    <row r="155" spans="1:12" ht="30" customHeight="1" x14ac:dyDescent="0.25">
      <c r="A155" s="79"/>
      <c r="B155" s="80"/>
      <c r="C155" s="80"/>
      <c r="D155" s="80"/>
      <c r="E155" s="80"/>
      <c r="F155" s="80"/>
      <c r="G155" s="81"/>
      <c r="H155" s="46" t="s">
        <v>17</v>
      </c>
      <c r="I155" s="10">
        <f>I61</f>
        <v>2800.2999999999997</v>
      </c>
      <c r="J155" s="10">
        <f>J61</f>
        <v>2800.2999999999997</v>
      </c>
      <c r="K155" s="10">
        <f>K61</f>
        <v>0</v>
      </c>
      <c r="L155" s="10">
        <f>L61</f>
        <v>0</v>
      </c>
    </row>
    <row r="156" spans="1:12" ht="33" customHeight="1" x14ac:dyDescent="0.25">
      <c r="A156" s="79"/>
      <c r="B156" s="80"/>
      <c r="C156" s="80"/>
      <c r="D156" s="80"/>
      <c r="E156" s="80"/>
      <c r="F156" s="80"/>
      <c r="G156" s="81"/>
      <c r="H156" s="46" t="s">
        <v>18</v>
      </c>
      <c r="I156" s="10">
        <f>I20+I29+I41+I51+I73+I128</f>
        <v>437965.1</v>
      </c>
      <c r="J156" s="10">
        <f>J20+J29+J41+J51+J73+J128</f>
        <v>256160.6</v>
      </c>
      <c r="K156" s="10">
        <f>K20+K29+K41+K51+K73+K128</f>
        <v>102149.3</v>
      </c>
      <c r="L156" s="10">
        <f>L20+L29+L41+L51+L73+L128</f>
        <v>79655.199999999997</v>
      </c>
    </row>
    <row r="157" spans="1:12" ht="45" x14ac:dyDescent="0.25">
      <c r="A157" s="79"/>
      <c r="B157" s="80"/>
      <c r="C157" s="80"/>
      <c r="D157" s="80"/>
      <c r="E157" s="80"/>
      <c r="F157" s="80"/>
      <c r="G157" s="81"/>
      <c r="H157" s="46" t="s">
        <v>92</v>
      </c>
      <c r="I157" s="10">
        <f>I74</f>
        <v>212682</v>
      </c>
      <c r="J157" s="10">
        <f>J74</f>
        <v>70894</v>
      </c>
      <c r="K157" s="10">
        <f>K74</f>
        <v>70894</v>
      </c>
      <c r="L157" s="10">
        <f>L74</f>
        <v>70894</v>
      </c>
    </row>
    <row r="158" spans="1:12" ht="30" x14ac:dyDescent="0.25">
      <c r="A158" s="79"/>
      <c r="B158" s="80"/>
      <c r="C158" s="80"/>
      <c r="D158" s="80"/>
      <c r="E158" s="80"/>
      <c r="F158" s="80"/>
      <c r="G158" s="81"/>
      <c r="H158" s="46" t="s">
        <v>19</v>
      </c>
      <c r="I158" s="10">
        <f>I21+I30+I42+I52+I62+I75+I87+I98+I109+I117+I129+I142+I153</f>
        <v>613806.13686999993</v>
      </c>
      <c r="J158" s="10">
        <f t="shared" ref="J158:L158" si="31">J21+J30+J42+J52+J62+J75+J87+J98+J109+J117+J129+J142+J153</f>
        <v>205965.93686999998</v>
      </c>
      <c r="K158" s="10">
        <f t="shared" si="31"/>
        <v>204029.3</v>
      </c>
      <c r="L158" s="10">
        <f t="shared" si="31"/>
        <v>203810.9</v>
      </c>
    </row>
    <row r="159" spans="1:12" ht="49.5" customHeight="1" x14ac:dyDescent="0.25">
      <c r="A159" s="82"/>
      <c r="B159" s="83"/>
      <c r="C159" s="83"/>
      <c r="D159" s="83"/>
      <c r="E159" s="83"/>
      <c r="F159" s="83"/>
      <c r="G159" s="84"/>
      <c r="H159" s="46" t="s">
        <v>91</v>
      </c>
      <c r="I159" s="10">
        <f>I76+I143</f>
        <v>252842.39999999997</v>
      </c>
      <c r="J159" s="10">
        <f t="shared" ref="J159:L159" si="32">J76+J143</f>
        <v>82410.999999999985</v>
      </c>
      <c r="K159" s="10">
        <f t="shared" si="32"/>
        <v>84319.4</v>
      </c>
      <c r="L159" s="10">
        <f t="shared" si="32"/>
        <v>86111.999999999985</v>
      </c>
    </row>
    <row r="161" spans="1:11" ht="15" customHeight="1" x14ac:dyDescent="0.25">
      <c r="A161" s="47"/>
      <c r="B161" s="86" t="s">
        <v>217</v>
      </c>
      <c r="C161" s="86"/>
      <c r="D161" s="86"/>
      <c r="E161" s="86"/>
      <c r="F161" s="86"/>
      <c r="G161" s="86"/>
      <c r="H161" s="47"/>
      <c r="J161" s="87" t="s">
        <v>218</v>
      </c>
      <c r="K161" s="87"/>
    </row>
  </sheetData>
  <mergeCells count="153">
    <mergeCell ref="C104:C106"/>
    <mergeCell ref="D104:D106"/>
    <mergeCell ref="E104:E106"/>
    <mergeCell ref="F104:F106"/>
    <mergeCell ref="A146:L146"/>
    <mergeCell ref="A147:A148"/>
    <mergeCell ref="F136:F139"/>
    <mergeCell ref="E136:E139"/>
    <mergeCell ref="D136:D139"/>
    <mergeCell ref="C136:C139"/>
    <mergeCell ref="B136:B139"/>
    <mergeCell ref="G138:G139"/>
    <mergeCell ref="A136:A139"/>
    <mergeCell ref="A144:L144"/>
    <mergeCell ref="A145:L145"/>
    <mergeCell ref="F68:F69"/>
    <mergeCell ref="H6:H8"/>
    <mergeCell ref="D70:D71"/>
    <mergeCell ref="E70:E71"/>
    <mergeCell ref="G15:G16"/>
    <mergeCell ref="A10:L10"/>
    <mergeCell ref="G68:G69"/>
    <mergeCell ref="A68:A71"/>
    <mergeCell ref="B68:B71"/>
    <mergeCell ref="C68:C71"/>
    <mergeCell ref="H15:H16"/>
    <mergeCell ref="E68:E69"/>
    <mergeCell ref="D68:D69"/>
    <mergeCell ref="A53:L53"/>
    <mergeCell ref="A22:L22"/>
    <mergeCell ref="A23:L23"/>
    <mergeCell ref="A24:A25"/>
    <mergeCell ref="A26:A27"/>
    <mergeCell ref="B26:B27"/>
    <mergeCell ref="C26:C27"/>
    <mergeCell ref="A65:L65"/>
    <mergeCell ref="A46:A47"/>
    <mergeCell ref="A50:G52"/>
    <mergeCell ref="D15:D16"/>
    <mergeCell ref="B161:G161"/>
    <mergeCell ref="A80:A81"/>
    <mergeCell ref="A119:L119"/>
    <mergeCell ref="A120:L120"/>
    <mergeCell ref="A91:A92"/>
    <mergeCell ref="A113:A114"/>
    <mergeCell ref="A82:A83"/>
    <mergeCell ref="B82:B83"/>
    <mergeCell ref="A89:L89"/>
    <mergeCell ref="A90:L90"/>
    <mergeCell ref="A100:L100"/>
    <mergeCell ref="A133:A134"/>
    <mergeCell ref="J161:K161"/>
    <mergeCell ref="A130:L130"/>
    <mergeCell ref="G136:G137"/>
    <mergeCell ref="A152:G153"/>
    <mergeCell ref="B93:B94"/>
    <mergeCell ref="A93:A94"/>
    <mergeCell ref="C93:C95"/>
    <mergeCell ref="D93:D95"/>
    <mergeCell ref="E93:E95"/>
    <mergeCell ref="F93:F95"/>
    <mergeCell ref="A104:A106"/>
    <mergeCell ref="B104:B106"/>
    <mergeCell ref="A79:L79"/>
    <mergeCell ref="A154:G159"/>
    <mergeCell ref="A110:L110"/>
    <mergeCell ref="A88:L88"/>
    <mergeCell ref="A99:L99"/>
    <mergeCell ref="H4:L4"/>
    <mergeCell ref="A11:L11"/>
    <mergeCell ref="A12:L12"/>
    <mergeCell ref="A13:A14"/>
    <mergeCell ref="A5:L5"/>
    <mergeCell ref="A6:A8"/>
    <mergeCell ref="B6:B8"/>
    <mergeCell ref="C6:C8"/>
    <mergeCell ref="F7:F8"/>
    <mergeCell ref="G7:G8"/>
    <mergeCell ref="I7:I8"/>
    <mergeCell ref="E7:E8"/>
    <mergeCell ref="D6:G6"/>
    <mergeCell ref="J7:L7"/>
    <mergeCell ref="D7:D8"/>
    <mergeCell ref="I6:L6"/>
    <mergeCell ref="A40:G42"/>
    <mergeCell ref="A32:L32"/>
    <mergeCell ref="A66:A67"/>
    <mergeCell ref="H1:L3"/>
    <mergeCell ref="A54:L54"/>
    <mergeCell ref="G70:G71"/>
    <mergeCell ref="A132:L132"/>
    <mergeCell ref="A121:A122"/>
    <mergeCell ref="A127:G129"/>
    <mergeCell ref="A116:G117"/>
    <mergeCell ref="A118:L118"/>
    <mergeCell ref="A131:L131"/>
    <mergeCell ref="A111:L111"/>
    <mergeCell ref="A112:L112"/>
    <mergeCell ref="A102:A103"/>
    <mergeCell ref="A78:L78"/>
    <mergeCell ref="A86:G87"/>
    <mergeCell ref="A97:G98"/>
    <mergeCell ref="F70:F71"/>
    <mergeCell ref="A72:G76"/>
    <mergeCell ref="A19:G21"/>
    <mergeCell ref="J15:J16"/>
    <mergeCell ref="A48:A49"/>
    <mergeCell ref="B48:B49"/>
    <mergeCell ref="C48:C49"/>
    <mergeCell ref="K15:K16"/>
    <mergeCell ref="I15:I16"/>
    <mergeCell ref="A33:L33"/>
    <mergeCell ref="A34:L34"/>
    <mergeCell ref="A37:A38"/>
    <mergeCell ref="B37:B38"/>
    <mergeCell ref="A43:L43"/>
    <mergeCell ref="L15:L16"/>
    <mergeCell ref="A28:G30"/>
    <mergeCell ref="A31:L31"/>
    <mergeCell ref="A35:A36"/>
    <mergeCell ref="C36:C39"/>
    <mergeCell ref="B15:B18"/>
    <mergeCell ref="C15:C18"/>
    <mergeCell ref="A15:A18"/>
    <mergeCell ref="D17:D18"/>
    <mergeCell ref="E17:E18"/>
    <mergeCell ref="E15:E16"/>
    <mergeCell ref="F15:F16"/>
    <mergeCell ref="F17:F18"/>
    <mergeCell ref="A44:L44"/>
    <mergeCell ref="A45:L45"/>
    <mergeCell ref="B149:B150"/>
    <mergeCell ref="C149:C150"/>
    <mergeCell ref="F149:F150"/>
    <mergeCell ref="E149:E150"/>
    <mergeCell ref="D149:D150"/>
    <mergeCell ref="A149:A150"/>
    <mergeCell ref="A141:G143"/>
    <mergeCell ref="A108:G109"/>
    <mergeCell ref="A55:L55"/>
    <mergeCell ref="A56:A57"/>
    <mergeCell ref="A58:A59"/>
    <mergeCell ref="B58:B59"/>
    <mergeCell ref="C58:C59"/>
    <mergeCell ref="D58:D59"/>
    <mergeCell ref="E58:E59"/>
    <mergeCell ref="F58:F59"/>
    <mergeCell ref="G58:G59"/>
    <mergeCell ref="A60:G62"/>
    <mergeCell ref="A101:L101"/>
    <mergeCell ref="A63:L63"/>
    <mergeCell ref="A64:L64"/>
    <mergeCell ref="A77:L77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2024-04-15T08:15:11Z</cp:lastPrinted>
  <dcterms:created xsi:type="dcterms:W3CDTF">2021-11-18T08:06:49Z</dcterms:created>
  <dcterms:modified xsi:type="dcterms:W3CDTF">2024-04-15T08:15:35Z</dcterms:modified>
</cp:coreProperties>
</file>