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Совет народных депутатов\Sharonova\уточнение бюджета 2023 декабрь\"/>
    </mc:Choice>
  </mc:AlternateContent>
  <bookViews>
    <workbookView xWindow="0" yWindow="0" windowWidth="20490" windowHeight="7755"/>
  </bookViews>
  <sheets>
    <sheet name="Документ" sheetId="2" r:id="rId1"/>
  </sheets>
  <definedNames>
    <definedName name="_xlnm.Print_Titles" localSheetId="0">Документ!$10:$10</definedName>
  </definedNames>
  <calcPr calcId="152511"/>
</workbook>
</file>

<file path=xl/calcChain.xml><?xml version="1.0" encoding="utf-8"?>
<calcChain xmlns="http://schemas.openxmlformats.org/spreadsheetml/2006/main">
  <c r="D50" i="2" l="1"/>
  <c r="D47" i="2"/>
  <c r="D31" i="2"/>
  <c r="D30" i="2"/>
  <c r="D43" i="2"/>
  <c r="D42" i="2"/>
  <c r="D26" i="2"/>
  <c r="D18" i="2"/>
  <c r="D14" i="2"/>
  <c r="D28" i="2"/>
  <c r="D37" i="2"/>
  <c r="D35" i="2"/>
  <c r="D39" i="2"/>
  <c r="D29" i="2"/>
  <c r="D52" i="2"/>
  <c r="D34" i="2"/>
  <c r="D44" i="2"/>
  <c r="D33" i="2"/>
  <c r="D25" i="2"/>
  <c r="F37" i="2"/>
  <c r="E37" i="2"/>
  <c r="F36" i="2"/>
  <c r="E36" i="2"/>
  <c r="D36" i="2"/>
  <c r="D16" i="2"/>
  <c r="D40" i="2"/>
  <c r="D21" i="2"/>
  <c r="D13" i="2"/>
  <c r="D11" i="2" s="1"/>
  <c r="D53" i="2"/>
  <c r="E30" i="2"/>
  <c r="E24" i="2"/>
  <c r="D45" i="2"/>
  <c r="D49" i="2"/>
  <c r="D24" i="2"/>
  <c r="D20" i="2"/>
  <c r="D19" i="2" s="1"/>
  <c r="F55" i="2"/>
  <c r="E55" i="2"/>
  <c r="D55" i="2"/>
  <c r="F17" i="2"/>
  <c r="E17" i="2"/>
  <c r="D17" i="2"/>
  <c r="E28" i="2"/>
  <c r="E27" i="2" s="1"/>
  <c r="F34" i="2"/>
  <c r="E34" i="2"/>
  <c r="F25" i="2"/>
  <c r="E25" i="2"/>
  <c r="E23" i="2" s="1"/>
  <c r="D23" i="2"/>
  <c r="E18" i="2"/>
  <c r="D48" i="2"/>
  <c r="F39" i="2"/>
  <c r="E39" i="2"/>
  <c r="F18" i="2"/>
  <c r="F35" i="2"/>
  <c r="F32" i="2" s="1"/>
  <c r="F28" i="2"/>
  <c r="E22" i="2"/>
  <c r="D22" i="2"/>
  <c r="F29" i="2"/>
  <c r="E29" i="2"/>
  <c r="E50" i="2"/>
  <c r="E49" i="2"/>
  <c r="F26" i="2"/>
  <c r="E26" i="2"/>
  <c r="F43" i="2"/>
  <c r="E43" i="2"/>
  <c r="F19" i="2"/>
  <c r="E19" i="2"/>
  <c r="F23" i="2"/>
  <c r="E32" i="2"/>
  <c r="F38" i="2"/>
  <c r="E38" i="2"/>
  <c r="D38" i="2"/>
  <c r="F41" i="2"/>
  <c r="E41" i="2"/>
  <c r="D41" i="2"/>
  <c r="F46" i="2"/>
  <c r="E46" i="2"/>
  <c r="F51" i="2"/>
  <c r="E51" i="2"/>
  <c r="D51" i="2"/>
  <c r="F54" i="2"/>
  <c r="E54" i="2"/>
  <c r="D54" i="2"/>
  <c r="D32" i="2" l="1"/>
  <c r="F27" i="2"/>
  <c r="D27" i="2"/>
  <c r="D46" i="2"/>
  <c r="D56" i="2" s="1"/>
  <c r="F14" i="2"/>
  <c r="F11" i="2" s="1"/>
  <c r="F56" i="2" s="1"/>
  <c r="E14" i="2"/>
  <c r="E11" i="2" s="1"/>
  <c r="E56" i="2" s="1"/>
</calcChain>
</file>

<file path=xl/sharedStrings.xml><?xml version="1.0" encoding="utf-8"?>
<sst xmlns="http://schemas.openxmlformats.org/spreadsheetml/2006/main" count="147" uniqueCount="72">
  <si>
    <t>к Решению Совета народных депутатов</t>
  </si>
  <si>
    <t>тыс. рублей</t>
  </si>
  <si>
    <t>Наименование</t>
  </si>
  <si>
    <t>Раздел</t>
  </si>
  <si>
    <t>Подраздел</t>
  </si>
  <si>
    <t>2023 год</t>
  </si>
  <si>
    <t>2024 год</t>
  </si>
  <si>
    <t>Распределение бюджетных ассигнований бюджета округа Муром по разделам и подразделам классификации расходов бюджетов на 2023 год и плановый период 2024 и 2025 годов</t>
  </si>
  <si>
    <t>2025 год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</si>
  <si>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</si>
  <si>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</si>
  <si>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</si>
  <si>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</si>
  <si>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</si>
  <si>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</si>
  <si>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</si>
  <si>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</si>
  <si>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</si>
  <si>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</si>
  <si>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</si>
  <si>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</si>
  <si>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</si>
  <si>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</si>
  <si>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</si>
  <si>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</si>
  <si>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</si>
  <si>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</si>
  <si>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</si>
  <si>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</si>
  <si>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</si>
  <si>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</si>
  <si>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</si>
  <si>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</si>
  <si>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</si>
  <si>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</si>
  <si>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</si>
  <si>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</si>
  <si>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</si>
  <si>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</si>
  <si>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</si>
  <si>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</si>
  <si>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</si>
  <si>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</si>
  <si>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</si>
  <si>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</si>
  <si>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  Массовый спорт</t>
  </si>
  <si>
    <t xml:space="preserve">    Спорт высших достижений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</si>
  <si>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</si>
  <si>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</si>
  <si>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Телевидение и радиовещание</t>
  </si>
  <si>
    <t xml:space="preserve">    Периодическая печать и издательства</t>
  </si>
  <si>
    <t xml:space="preserve">  ОБСЛУЖИВАНИЕ ГОСУДАРСТВЕННОГО (МУНИЦИПАЛЬНОГО) ДОЛГА</t>
  </si>
  <si>
    <t xml:space="preserve">    Обслуживание государственного (муниципального) внутреннего долга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</si>
  <si>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</si>
  <si>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</si>
  <si>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</si>
  <si>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</si>
  <si>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</si>
  <si>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</si>
  <si>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</si>
  <si>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</si>
  <si>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</si>
  <si>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10</t>
  </si>
  <si>
    <t>14</t>
  </si>
  <si>
    <t>09</t>
  </si>
  <si>
    <t>12</t>
  </si>
  <si>
    <t>07</t>
  </si>
  <si>
    <t>08</t>
  </si>
  <si>
    <t>Всего расходов:</t>
  </si>
  <si>
    <t>Приложение № 4</t>
  </si>
  <si>
    <t xml:space="preserve">     Транспорт</t>
  </si>
  <si>
    <t>от 21.12.2023 № 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</si>
</sst>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</cellStyleXfs>
  <cellXfs count="35">
    <xf numFmtId="0" fontId="0" fillId="0" borderId="0" xfId="0"/>
    <xf numFmtId="0" fontId="7" fillId="0" borderId="1" xfId="2" applyNumberFormat="1" applyFont="1" applyFill="1" applyProtection="1"/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0" fillId="0" borderId="2" xfId="4" applyNumberFormat="1" applyFont="1" applyFill="1" applyProtection="1">
      <alignment horizontal="center" vertical="center" wrapText="1"/>
    </xf>
    <xf numFmtId="0" fontId="10" fillId="0" borderId="2" xfId="5" applyNumberFormat="1" applyFont="1" applyFill="1" applyProtection="1">
      <alignment vertical="top" wrapText="1"/>
    </xf>
    <xf numFmtId="1" fontId="10" fillId="0" borderId="2" xfId="6" applyNumberFormat="1" applyFont="1" applyFill="1" applyProtection="1">
      <alignment horizontal="center" vertical="top" shrinkToFit="1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1" xfId="1" applyNumberFormat="1" applyFont="1" applyFill="1" applyAlignment="1" applyProtection="1">
      <alignment horizontal="center" wrapText="1"/>
    </xf>
    <xf numFmtId="0" fontId="10" fillId="0" borderId="1" xfId="1" applyFont="1" applyFill="1" applyAlignment="1">
      <alignment horizontal="center" wrapText="1"/>
    </xf>
    <xf numFmtId="0" fontId="9" fillId="0" borderId="0" xfId="0" applyFont="1" applyFill="1" applyAlignment="1" applyProtection="1">
      <alignment horizontal="right"/>
      <protection locked="0"/>
    </xf>
    <xf numFmtId="164" fontId="7" fillId="0" borderId="1" xfId="2" applyNumberFormat="1" applyFont="1" applyFill="1" applyProtection="1"/>
    <xf numFmtId="0" fontId="11" fillId="0" borderId="2" xfId="5" applyNumberFormat="1" applyFont="1" applyFill="1" applyProtection="1">
      <alignment vertical="top" wrapText="1"/>
    </xf>
    <xf numFmtId="1" fontId="11" fillId="0" borderId="2" xfId="6" applyNumberFormat="1" applyFont="1" applyFill="1" applyProtection="1">
      <alignment horizontal="center" vertical="top" shrinkToFit="1"/>
    </xf>
    <xf numFmtId="0" fontId="9" fillId="0" borderId="0" xfId="0" applyFont="1" applyFill="1" applyAlignment="1" applyProtection="1">
      <alignment horizontal="right"/>
      <protection locked="0"/>
    </xf>
    <xf numFmtId="165" fontId="7" fillId="0" borderId="1" xfId="2" applyNumberFormat="1" applyFont="1" applyFill="1" applyProtection="1"/>
    <xf numFmtId="165" fontId="8" fillId="0" borderId="0" xfId="0" applyNumberFormat="1" applyFont="1" applyFill="1" applyProtection="1">
      <protection locked="0"/>
    </xf>
    <xf numFmtId="49" fontId="10" fillId="0" borderId="2" xfId="6" applyNumberFormat="1" applyFont="1" applyFill="1" applyProtection="1">
      <alignment horizontal="center" vertical="top" shrinkToFit="1"/>
    </xf>
    <xf numFmtId="4" fontId="8" fillId="0" borderId="0" xfId="0" applyNumberFormat="1" applyFont="1" applyFill="1" applyProtection="1">
      <protection locked="0"/>
    </xf>
    <xf numFmtId="164" fontId="11" fillId="0" borderId="2" xfId="24" applyNumberFormat="1" applyFont="1" applyFill="1" applyProtection="1">
      <alignment horizontal="right" vertical="top" shrinkToFit="1"/>
    </xf>
    <xf numFmtId="164" fontId="10" fillId="0" borderId="2" xfId="24" applyNumberFormat="1" applyFont="1" applyFill="1" applyProtection="1">
      <alignment horizontal="right" vertical="top" shrinkToFit="1"/>
    </xf>
    <xf numFmtId="164" fontId="10" fillId="0" borderId="5" xfId="24" applyNumberFormat="1" applyFont="1" applyFill="1" applyBorder="1" applyProtection="1">
      <alignment horizontal="right" vertical="top" shrinkToFit="1"/>
    </xf>
    <xf numFmtId="164" fontId="11" fillId="0" borderId="4" xfId="25" applyNumberFormat="1" applyFont="1" applyFill="1" applyBorder="1" applyProtection="1">
      <alignment horizontal="right" vertical="top" shrinkToFit="1"/>
    </xf>
    <xf numFmtId="0" fontId="11" fillId="0" borderId="6" xfId="9" applyNumberFormat="1" applyFont="1" applyFill="1" applyBorder="1" applyAlignment="1" applyProtection="1">
      <alignment horizontal="center" vertical="center"/>
    </xf>
    <xf numFmtId="0" fontId="11" fillId="0" borderId="7" xfId="9" applyFont="1" applyFill="1" applyBorder="1" applyAlignment="1">
      <alignment horizontal="center" vertical="center"/>
    </xf>
    <xf numFmtId="0" fontId="11" fillId="0" borderId="8" xfId="9" applyFont="1" applyFill="1" applyBorder="1" applyAlignment="1">
      <alignment horizontal="center" vertical="center"/>
    </xf>
    <xf numFmtId="0" fontId="7" fillId="0" borderId="1" xfId="12" applyNumberFormat="1" applyFont="1" applyFill="1" applyProtection="1">
      <alignment horizontal="left" wrapText="1"/>
    </xf>
    <xf numFmtId="0" fontId="7" fillId="0" borderId="1" xfId="12" applyFont="1" applyFill="1">
      <alignment horizontal="left" wrapText="1"/>
    </xf>
    <xf numFmtId="0" fontId="9" fillId="0" borderId="0" xfId="0" applyFont="1" applyFill="1" applyAlignment="1" applyProtection="1">
      <alignment horizontal="right"/>
      <protection locked="0"/>
    </xf>
    <xf numFmtId="0" fontId="11" fillId="0" borderId="1" xfId="1" applyNumberFormat="1" applyFont="1" applyFill="1" applyAlignment="1" applyProtection="1">
      <alignment horizontal="center" wrapText="1"/>
    </xf>
    <xf numFmtId="0" fontId="11" fillId="0" borderId="1" xfId="1" applyFont="1" applyFill="1" applyAlignment="1">
      <alignment horizontal="center" wrapTex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10" fillId="0" borderId="1" xfId="3" applyNumberFormat="1" applyFont="1" applyFill="1" applyProtection="1">
      <alignment horizontal="right"/>
    </xf>
    <xf numFmtId="0" fontId="10" fillId="0" borderId="1" xfId="3" applyFont="1" applyFill="1">
      <alignment horizontal="right"/>
    </xf>
  </cellXfs>
  <cellStyles count="26">
    <cellStyle name="br" xfId="15"/>
    <cellStyle name="col" xfId="14"/>
    <cellStyle name="st23" xfId="25"/>
    <cellStyle name="st25" xfId="2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zoomScaleNormal="100" zoomScaleSheetLayoutView="100" workbookViewId="0">
      <pane ySplit="10" topLeftCell="A11" activePane="bottomLeft" state="frozen"/>
      <selection pane="bottomLeft" activeCell="E4" sqref="E4"/>
    </sheetView>
  </sheetViews>
  <sheetFormatPr defaultColWidth="8.85546875" defaultRowHeight="15.75" outlineLevelRow="1" x14ac:dyDescent="0.25"/>
  <cols>
    <col min="1" max="1" width="46.5703125" style="2" customWidth="1"/>
    <col min="2" max="2" width="10.5703125" style="2" customWidth="1"/>
    <col min="3" max="3" width="11" style="2" customWidth="1"/>
    <col min="4" max="6" width="14.85546875" style="2" customWidth="1"/>
    <col min="7" max="7" width="28" style="2" customWidth="1"/>
    <col min="8" max="8" width="17.140625" style="2" customWidth="1"/>
    <col min="9" max="16384" width="8.85546875" style="2"/>
  </cols>
  <sheetData>
    <row r="1" spans="1:7" x14ac:dyDescent="0.25">
      <c r="A1" s="3"/>
      <c r="B1" s="3"/>
      <c r="C1" s="3"/>
      <c r="D1" s="3"/>
      <c r="E1" s="3"/>
      <c r="F1" s="14" t="s">
        <v>69</v>
      </c>
    </row>
    <row r="2" spans="1:7" x14ac:dyDescent="0.25">
      <c r="A2" s="3"/>
      <c r="B2" s="3"/>
      <c r="C2" s="3"/>
      <c r="D2" s="28" t="s">
        <v>0</v>
      </c>
      <c r="E2" s="28"/>
      <c r="F2" s="28"/>
    </row>
    <row r="3" spans="1:7" x14ac:dyDescent="0.25">
      <c r="A3" s="3"/>
      <c r="B3" s="3"/>
      <c r="C3" s="3"/>
      <c r="D3" s="10"/>
      <c r="E3" s="28" t="s">
        <v>71</v>
      </c>
      <c r="F3" s="28"/>
    </row>
    <row r="4" spans="1:7" x14ac:dyDescent="0.25">
      <c r="A4" s="3"/>
      <c r="B4" s="3"/>
      <c r="C4" s="3"/>
      <c r="D4" s="3"/>
      <c r="E4" s="7"/>
      <c r="F4" s="7"/>
    </row>
    <row r="5" spans="1:7" x14ac:dyDescent="0.25">
      <c r="A5" s="3"/>
      <c r="B5" s="3"/>
      <c r="C5" s="3"/>
      <c r="D5" s="3"/>
      <c r="E5" s="7"/>
      <c r="F5" s="7"/>
    </row>
    <row r="6" spans="1:7" ht="33.75" customHeight="1" x14ac:dyDescent="0.25">
      <c r="A6" s="29" t="s">
        <v>7</v>
      </c>
      <c r="B6" s="30"/>
      <c r="C6" s="30"/>
      <c r="D6" s="30"/>
      <c r="E6" s="30"/>
      <c r="F6" s="30"/>
      <c r="G6" s="1"/>
    </row>
    <row r="7" spans="1:7" ht="15" customHeight="1" x14ac:dyDescent="0.25">
      <c r="A7" s="8"/>
      <c r="B7" s="9"/>
      <c r="C7" s="9"/>
      <c r="D7" s="9"/>
      <c r="E7" s="9"/>
      <c r="F7" s="9"/>
      <c r="G7" s="1"/>
    </row>
    <row r="8" spans="1:7" x14ac:dyDescent="0.25">
      <c r="A8" s="31"/>
      <c r="B8" s="32"/>
      <c r="C8" s="32"/>
      <c r="D8" s="32"/>
      <c r="E8" s="32"/>
      <c r="F8" s="32"/>
      <c r="G8" s="1"/>
    </row>
    <row r="9" spans="1:7" x14ac:dyDescent="0.25">
      <c r="A9" s="33" t="s">
        <v>1</v>
      </c>
      <c r="B9" s="34"/>
      <c r="C9" s="34"/>
      <c r="D9" s="34"/>
      <c r="E9" s="34"/>
      <c r="F9" s="34"/>
      <c r="G9" s="1"/>
    </row>
    <row r="10" spans="1:7" ht="21" customHeight="1" x14ac:dyDescent="0.25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8</v>
      </c>
      <c r="G10" s="1"/>
    </row>
    <row r="11" spans="1:7" ht="18.75" customHeight="1" x14ac:dyDescent="0.25">
      <c r="A11" s="12" t="s">
        <v>9</v>
      </c>
      <c r="B11" s="13" t="s">
        <v>53</v>
      </c>
      <c r="C11" s="13" t="s">
        <v>54</v>
      </c>
      <c r="D11" s="19">
        <f>D12+D13+D14+D15+D16+D17+D18</f>
        <v>245363.77199000007</v>
      </c>
      <c r="E11" s="19">
        <f t="shared" ref="E11:F11" si="0">E12+E13+E14+E15+E16+E17+E18</f>
        <v>199601.13099999999</v>
      </c>
      <c r="F11" s="19">
        <f t="shared" si="0"/>
        <v>195864.00599999999</v>
      </c>
      <c r="G11" s="1"/>
    </row>
    <row r="12" spans="1:7" ht="49.5" customHeight="1" outlineLevel="1" x14ac:dyDescent="0.25">
      <c r="A12" s="5" t="s">
        <v>10</v>
      </c>
      <c r="B12" s="6" t="s">
        <v>53</v>
      </c>
      <c r="C12" s="6" t="s">
        <v>55</v>
      </c>
      <c r="D12" s="20">
        <v>1772.6</v>
      </c>
      <c r="E12" s="20">
        <v>1772.6</v>
      </c>
      <c r="F12" s="20">
        <v>1772.6</v>
      </c>
      <c r="G12" s="1"/>
    </row>
    <row r="13" spans="1:7" ht="64.5" customHeight="1" outlineLevel="1" x14ac:dyDescent="0.25">
      <c r="A13" s="5" t="s">
        <v>11</v>
      </c>
      <c r="B13" s="6" t="s">
        <v>53</v>
      </c>
      <c r="C13" s="6" t="s">
        <v>56</v>
      </c>
      <c r="D13" s="20">
        <f>9172+324.2807+288.0193+359.3254</f>
        <v>10143.625399999999</v>
      </c>
      <c r="E13" s="20">
        <v>9172</v>
      </c>
      <c r="F13" s="20">
        <v>9172</v>
      </c>
      <c r="G13" s="1"/>
    </row>
    <row r="14" spans="1:7" ht="79.5" customHeight="1" outlineLevel="1" x14ac:dyDescent="0.25">
      <c r="A14" s="5" t="s">
        <v>12</v>
      </c>
      <c r="B14" s="6" t="s">
        <v>53</v>
      </c>
      <c r="C14" s="6" t="s">
        <v>57</v>
      </c>
      <c r="D14" s="20">
        <f>41362.9+1413.8274+1298.4+5970.0325+40.5-3732.72618+4355.92618-85.89704+16.7-30+4053.44252</f>
        <v>54663.105380000001</v>
      </c>
      <c r="E14" s="20">
        <f>41362.9-4646.2</f>
        <v>36716.700000000004</v>
      </c>
      <c r="F14" s="20">
        <f>41362.9-3961</f>
        <v>37401.9</v>
      </c>
      <c r="G14" s="1"/>
    </row>
    <row r="15" spans="1:7" outlineLevel="1" x14ac:dyDescent="0.25">
      <c r="A15" s="5" t="s">
        <v>13</v>
      </c>
      <c r="B15" s="6" t="s">
        <v>53</v>
      </c>
      <c r="C15" s="6" t="s">
        <v>58</v>
      </c>
      <c r="D15" s="20">
        <v>2.2000000000000002</v>
      </c>
      <c r="E15" s="20">
        <v>2.2000000000000002</v>
      </c>
      <c r="F15" s="20">
        <v>2.2000000000000002</v>
      </c>
      <c r="G15" s="1"/>
    </row>
    <row r="16" spans="1:7" ht="63" outlineLevel="1" x14ac:dyDescent="0.25">
      <c r="A16" s="5" t="s">
        <v>14</v>
      </c>
      <c r="B16" s="6" t="s">
        <v>53</v>
      </c>
      <c r="C16" s="6" t="s">
        <v>59</v>
      </c>
      <c r="D16" s="20">
        <f>16654.6+965.0244+422.8+1616.9756+272.6</f>
        <v>19931.999999999996</v>
      </c>
      <c r="E16" s="20">
        <v>16654.599999999999</v>
      </c>
      <c r="F16" s="20">
        <v>16654.599999999999</v>
      </c>
      <c r="G16" s="1"/>
    </row>
    <row r="17" spans="1:8" outlineLevel="1" x14ac:dyDescent="0.25">
      <c r="A17" s="5" t="s">
        <v>15</v>
      </c>
      <c r="B17" s="6" t="s">
        <v>53</v>
      </c>
      <c r="C17" s="6" t="s">
        <v>60</v>
      </c>
      <c r="D17" s="20">
        <f>891.3-11.7</f>
        <v>879.59999999999991</v>
      </c>
      <c r="E17" s="20">
        <f>891.3-98.6</f>
        <v>792.69999999999993</v>
      </c>
      <c r="F17" s="20">
        <f>891.3-78.1</f>
        <v>813.19999999999993</v>
      </c>
      <c r="G17" s="1"/>
    </row>
    <row r="18" spans="1:8" outlineLevel="1" x14ac:dyDescent="0.25">
      <c r="A18" s="5" t="s">
        <v>16</v>
      </c>
      <c r="B18" s="6" t="s">
        <v>53</v>
      </c>
      <c r="C18" s="6" t="s">
        <v>61</v>
      </c>
      <c r="D18" s="20">
        <f>141202.522+9800.6-1277.44-1274.4-1014.5+1531-4814.4-100-357.9-22600+390.432-2770.3+6000+2322.672+2320.016+1247.4165+302.784+1378.9637+841.1+2322.672+78.4+473.2+1598.3888+7000+257+1840.2+129.6+2468.752+640.8-53+4249.6+3732.72618+792.7682-277.85+507.9763-2918.982+85.89704+45+30+1980.048+3879.088-4020.20951</f>
        <v>157970.64121000006</v>
      </c>
      <c r="E18" s="20">
        <f>149663.196+4646.2-407.715-3689.5-2995.2-10000-2726.65</f>
        <v>134490.33100000001</v>
      </c>
      <c r="F18" s="20">
        <f>142529.925+3961-1051.351-1893.368-3498.7-10000</f>
        <v>130047.50599999999</v>
      </c>
      <c r="G18" s="1"/>
    </row>
    <row r="19" spans="1:8" ht="50.25" customHeight="1" x14ac:dyDescent="0.25">
      <c r="A19" s="12" t="s">
        <v>17</v>
      </c>
      <c r="B19" s="13" t="s">
        <v>56</v>
      </c>
      <c r="C19" s="13" t="s">
        <v>54</v>
      </c>
      <c r="D19" s="19">
        <f>D20+D21+D22</f>
        <v>26970.760000000002</v>
      </c>
      <c r="E19" s="19">
        <f t="shared" ref="E19:F19" si="1">E20+E21+E22</f>
        <v>25165.4</v>
      </c>
      <c r="F19" s="19">
        <f t="shared" si="1"/>
        <v>24810.7</v>
      </c>
      <c r="G19" s="11"/>
    </row>
    <row r="20" spans="1:8" outlineLevel="1" x14ac:dyDescent="0.25">
      <c r="A20" s="5" t="s">
        <v>18</v>
      </c>
      <c r="B20" s="6" t="s">
        <v>56</v>
      </c>
      <c r="C20" s="6" t="s">
        <v>57</v>
      </c>
      <c r="D20" s="20">
        <f>6451+180+139.3+124.9+80</f>
        <v>6975.2</v>
      </c>
      <c r="E20" s="20">
        <v>6847</v>
      </c>
      <c r="F20" s="20">
        <v>7067</v>
      </c>
      <c r="G20" s="1"/>
    </row>
    <row r="21" spans="1:8" ht="63" outlineLevel="1" x14ac:dyDescent="0.25">
      <c r="A21" s="5" t="s">
        <v>19</v>
      </c>
      <c r="B21" s="6" t="s">
        <v>56</v>
      </c>
      <c r="C21" s="6" t="s">
        <v>62</v>
      </c>
      <c r="D21" s="20">
        <f>17203.7+365.56+330.3+1441.1</f>
        <v>19340.66</v>
      </c>
      <c r="E21" s="20">
        <v>17203.7</v>
      </c>
      <c r="F21" s="20">
        <v>17203.7</v>
      </c>
      <c r="G21" s="1"/>
    </row>
    <row r="22" spans="1:8" ht="47.25" outlineLevel="1" x14ac:dyDescent="0.25">
      <c r="A22" s="5" t="s">
        <v>20</v>
      </c>
      <c r="B22" s="6" t="s">
        <v>56</v>
      </c>
      <c r="C22" s="6" t="s">
        <v>63</v>
      </c>
      <c r="D22" s="20">
        <f>540+100+14.9</f>
        <v>654.9</v>
      </c>
      <c r="E22" s="20">
        <f>540+500+74.7</f>
        <v>1114.7</v>
      </c>
      <c r="F22" s="20">
        <v>540</v>
      </c>
      <c r="G22" s="1"/>
    </row>
    <row r="23" spans="1:8" x14ac:dyDescent="0.25">
      <c r="A23" s="12" t="s">
        <v>21</v>
      </c>
      <c r="B23" s="13" t="s">
        <v>57</v>
      </c>
      <c r="C23" s="13" t="s">
        <v>54</v>
      </c>
      <c r="D23" s="19">
        <f>D25+D26+D24</f>
        <v>698514.51506000012</v>
      </c>
      <c r="E23" s="19">
        <f>E25+E26+E24</f>
        <v>106518.304</v>
      </c>
      <c r="F23" s="19">
        <f t="shared" ref="F23" si="2">F25+F26</f>
        <v>114916.095</v>
      </c>
      <c r="G23" s="11"/>
      <c r="H23" s="16"/>
    </row>
    <row r="24" spans="1:8" x14ac:dyDescent="0.25">
      <c r="A24" s="5" t="s">
        <v>70</v>
      </c>
      <c r="B24" s="17" t="s">
        <v>57</v>
      </c>
      <c r="C24" s="17" t="s">
        <v>67</v>
      </c>
      <c r="D24" s="20">
        <f>0.05+99724+100000</f>
        <v>199724.05</v>
      </c>
      <c r="E24" s="20">
        <f>0.03</f>
        <v>0.03</v>
      </c>
      <c r="F24" s="20">
        <v>0</v>
      </c>
      <c r="G24" s="11"/>
      <c r="H24" s="16"/>
    </row>
    <row r="25" spans="1:8" x14ac:dyDescent="0.25">
      <c r="A25" s="5" t="s">
        <v>22</v>
      </c>
      <c r="B25" s="6" t="s">
        <v>57</v>
      </c>
      <c r="C25" s="6" t="s">
        <v>64</v>
      </c>
      <c r="D25" s="20">
        <f>135365.1+185.442+234.87+36000+211.2+13920.98054+20000-8811.58054+306.29943+2988.6+5000+141.91265+95+10052.9+13198</f>
        <v>228888.72408000004</v>
      </c>
      <c r="E25" s="20">
        <f>116746.5-16875</f>
        <v>99871.5</v>
      </c>
      <c r="F25" s="20">
        <f>119297-11074</f>
        <v>108223</v>
      </c>
      <c r="G25" s="1"/>
    </row>
    <row r="26" spans="1:8" ht="39" customHeight="1" outlineLevel="1" x14ac:dyDescent="0.25">
      <c r="A26" s="5" t="s">
        <v>23</v>
      </c>
      <c r="B26" s="6" t="s">
        <v>57</v>
      </c>
      <c r="C26" s="6" t="s">
        <v>65</v>
      </c>
      <c r="D26" s="20">
        <f>5563.9+752.1+112.383+247818.46939-4996.32653+79.7186-1.48548-640.8+16300-5897+6300+3300+50.183+1161.3-0.701</f>
        <v>269901.74098</v>
      </c>
      <c r="E26" s="20">
        <f>5563.9+942.1+140.774</f>
        <v>6646.7740000000003</v>
      </c>
      <c r="F26" s="20">
        <f>5563.9+982.4+146.795</f>
        <v>6693.0949999999993</v>
      </c>
      <c r="G26" s="1"/>
    </row>
    <row r="27" spans="1:8" ht="31.5" outlineLevel="1" x14ac:dyDescent="0.25">
      <c r="A27" s="12" t="s">
        <v>24</v>
      </c>
      <c r="B27" s="13" t="s">
        <v>58</v>
      </c>
      <c r="C27" s="13" t="s">
        <v>54</v>
      </c>
      <c r="D27" s="19">
        <f>D28+D29+D30+D31</f>
        <v>584795.7239199999</v>
      </c>
      <c r="E27" s="19">
        <f t="shared" ref="E27:F27" si="3">E28+E29+E30+E31</f>
        <v>266325.52</v>
      </c>
      <c r="F27" s="19">
        <f t="shared" si="3"/>
        <v>234436.96800000002</v>
      </c>
      <c r="G27" s="15"/>
      <c r="H27" s="16"/>
    </row>
    <row r="28" spans="1:8" x14ac:dyDescent="0.25">
      <c r="A28" s="5" t="s">
        <v>25</v>
      </c>
      <c r="B28" s="6" t="s">
        <v>58</v>
      </c>
      <c r="C28" s="6" t="s">
        <v>53</v>
      </c>
      <c r="D28" s="20">
        <f>14335.139+1260.1125+15068.29861+28134+587+4204+15366+2296-100-12669.00111+2975.3-77+22815-5</f>
        <v>94189.849000000002</v>
      </c>
      <c r="E28" s="20">
        <f>14917.3+17410+2601.5+18247.6+2726.65+20199.91355</f>
        <v>76102.96355</v>
      </c>
      <c r="F28" s="20">
        <f>80388.3+23414+3498.7</f>
        <v>107301</v>
      </c>
      <c r="G28" s="1"/>
    </row>
    <row r="29" spans="1:8" outlineLevel="1" x14ac:dyDescent="0.25">
      <c r="A29" s="5" t="s">
        <v>26</v>
      </c>
      <c r="B29" s="6" t="s">
        <v>58</v>
      </c>
      <c r="C29" s="6" t="s">
        <v>55</v>
      </c>
      <c r="D29" s="20">
        <f>88764.6+8528.2+1274.4+0.14+1843.7+108.4253-6121.7+8811.58054+136.819+137.6</f>
        <v>103483.76484</v>
      </c>
      <c r="E29" s="20">
        <f>24690.9+3689.5</f>
        <v>28380.400000000001</v>
      </c>
      <c r="F29" s="20">
        <f>12671+1893.368</f>
        <v>14564.368</v>
      </c>
      <c r="G29" s="1"/>
    </row>
    <row r="30" spans="1:8" outlineLevel="1" x14ac:dyDescent="0.25">
      <c r="A30" s="5" t="s">
        <v>27</v>
      </c>
      <c r="B30" s="6" t="s">
        <v>58</v>
      </c>
      <c r="C30" s="6" t="s">
        <v>56</v>
      </c>
      <c r="D30" s="20">
        <f>140342.3+1905.8-0.05+1947.8+106000-185.442+12600-19.3+2894.7253+1.48548+14646-2276.84+4170+628.8336+1106+2000+31300+19949.3-298.023-575.99</f>
        <v>336136.59937999991</v>
      </c>
      <c r="E30" s="20">
        <f>136476+2100.1+4217.9-20199.91355-0.03</f>
        <v>122594.05645</v>
      </c>
      <c r="F30" s="20">
        <v>73323.5</v>
      </c>
      <c r="G30" s="1"/>
    </row>
    <row r="31" spans="1:8" ht="31.5" outlineLevel="1" x14ac:dyDescent="0.25">
      <c r="A31" s="5" t="s">
        <v>28</v>
      </c>
      <c r="B31" s="6" t="s">
        <v>58</v>
      </c>
      <c r="C31" s="6" t="s">
        <v>58</v>
      </c>
      <c r="D31" s="20">
        <f>39248-0.14-108.4253+100+821.1887+706.025+210.2+235+759.6213+854.155+2276.84+327.8+321+864.075+2089.781+1699.4+5+575.99</f>
        <v>50985.510699999999</v>
      </c>
      <c r="E31" s="20">
        <v>39248.1</v>
      </c>
      <c r="F31" s="20">
        <v>39248.1</v>
      </c>
      <c r="G31" s="1"/>
    </row>
    <row r="32" spans="1:8" outlineLevel="1" x14ac:dyDescent="0.25">
      <c r="A32" s="12" t="s">
        <v>29</v>
      </c>
      <c r="B32" s="13" t="s">
        <v>66</v>
      </c>
      <c r="C32" s="13" t="s">
        <v>54</v>
      </c>
      <c r="D32" s="19">
        <f>D33+D34+D35+D36+D37</f>
        <v>1622631.0528799999</v>
      </c>
      <c r="E32" s="19">
        <f t="shared" ref="E32:F32" si="4">E33+E34+E35+E36+E37</f>
        <v>1527922.9000000001</v>
      </c>
      <c r="F32" s="19">
        <f t="shared" si="4"/>
        <v>1523269.7999999998</v>
      </c>
      <c r="G32" s="11"/>
    </row>
    <row r="33" spans="1:7" x14ac:dyDescent="0.25">
      <c r="A33" s="5" t="s">
        <v>30</v>
      </c>
      <c r="B33" s="6" t="s">
        <v>66</v>
      </c>
      <c r="C33" s="6" t="s">
        <v>53</v>
      </c>
      <c r="D33" s="20">
        <f>606679.1+1000+14108.674+219+3053.19+1972.3896+60</f>
        <v>627092.35359999991</v>
      </c>
      <c r="E33" s="20">
        <v>617694</v>
      </c>
      <c r="F33" s="20">
        <v>617860.6</v>
      </c>
      <c r="G33" s="11"/>
    </row>
    <row r="34" spans="1:7" outlineLevel="1" x14ac:dyDescent="0.25">
      <c r="A34" s="5" t="s">
        <v>31</v>
      </c>
      <c r="B34" s="6" t="s">
        <v>66</v>
      </c>
      <c r="C34" s="6" t="s">
        <v>55</v>
      </c>
      <c r="D34" s="20">
        <f>736303.2+784.106+17679.1-509.2+4169.67+1182+3955.6+140+10+31993.6</f>
        <v>795708.076</v>
      </c>
      <c r="E34" s="20">
        <f>725273.7+2134.8+319+4207.6</f>
        <v>731935.1</v>
      </c>
      <c r="F34" s="20">
        <f>722674.8+143+21.4+4207.6</f>
        <v>727046.8</v>
      </c>
      <c r="G34" s="1"/>
    </row>
    <row r="35" spans="1:7" outlineLevel="1" x14ac:dyDescent="0.25">
      <c r="A35" s="5" t="s">
        <v>32</v>
      </c>
      <c r="B35" s="6" t="s">
        <v>66</v>
      </c>
      <c r="C35" s="6" t="s">
        <v>56</v>
      </c>
      <c r="D35" s="20">
        <f>98255.8-1000+544.9+182.75715+4777.00085+1500+62+487.6+156.24+105.69385+809.5508+311+1730+106.90848-164</f>
        <v>107865.45113</v>
      </c>
      <c r="E35" s="20">
        <v>98165.8</v>
      </c>
      <c r="F35" s="20">
        <f>98255.8-21.4</f>
        <v>98234.400000000009</v>
      </c>
      <c r="G35" s="1"/>
    </row>
    <row r="36" spans="1:7" outlineLevel="1" x14ac:dyDescent="0.25">
      <c r="A36" s="5" t="s">
        <v>33</v>
      </c>
      <c r="B36" s="6" t="s">
        <v>66</v>
      </c>
      <c r="C36" s="6" t="s">
        <v>66</v>
      </c>
      <c r="D36" s="20">
        <f>29076.7+3985.2+595.5+175+420-32934.4</f>
        <v>1318</v>
      </c>
      <c r="E36" s="20">
        <f>29076.7-28353.7</f>
        <v>723</v>
      </c>
      <c r="F36" s="20">
        <f>29076.7-28353.7</f>
        <v>723</v>
      </c>
      <c r="G36" s="1"/>
    </row>
    <row r="37" spans="1:7" outlineLevel="1" x14ac:dyDescent="0.25">
      <c r="A37" s="5" t="s">
        <v>34</v>
      </c>
      <c r="B37" s="6" t="s">
        <v>66</v>
      </c>
      <c r="C37" s="6" t="s">
        <v>64</v>
      </c>
      <c r="D37" s="20">
        <f>51342+3617.07905+334+103.9+1226.7289+569.5-281+636.5642+32934.4+164</f>
        <v>90647.172149999999</v>
      </c>
      <c r="E37" s="20">
        <f>51051.3+28353.7</f>
        <v>79405</v>
      </c>
      <c r="F37" s="20">
        <f>51051.3+28353.7</f>
        <v>79405</v>
      </c>
      <c r="G37" s="1"/>
    </row>
    <row r="38" spans="1:7" outlineLevel="1" x14ac:dyDescent="0.25">
      <c r="A38" s="12" t="s">
        <v>35</v>
      </c>
      <c r="B38" s="13" t="s">
        <v>67</v>
      </c>
      <c r="C38" s="13" t="s">
        <v>54</v>
      </c>
      <c r="D38" s="19">
        <f>D39+D40</f>
        <v>143537.01462</v>
      </c>
      <c r="E38" s="19">
        <f t="shared" ref="E38:F38" si="5">E39+E40</f>
        <v>138329</v>
      </c>
      <c r="F38" s="19">
        <f t="shared" si="5"/>
        <v>134176.1</v>
      </c>
      <c r="G38" s="11"/>
    </row>
    <row r="39" spans="1:7" x14ac:dyDescent="0.25">
      <c r="A39" s="5" t="s">
        <v>36</v>
      </c>
      <c r="B39" s="6" t="s">
        <v>67</v>
      </c>
      <c r="C39" s="6" t="s">
        <v>53</v>
      </c>
      <c r="D39" s="20">
        <f>101185.4+10000+10000-170.2+4355.2+354+597+1049.9-106.90848</f>
        <v>127264.39151999999</v>
      </c>
      <c r="E39" s="20">
        <f>103936.7+10000+10000</f>
        <v>123936.7</v>
      </c>
      <c r="F39" s="20">
        <f>99783.8+10000+10000</f>
        <v>119783.8</v>
      </c>
      <c r="G39" s="1"/>
    </row>
    <row r="40" spans="1:7" ht="31.5" outlineLevel="1" x14ac:dyDescent="0.25">
      <c r="A40" s="5" t="s">
        <v>37</v>
      </c>
      <c r="B40" s="6" t="s">
        <v>67</v>
      </c>
      <c r="C40" s="6" t="s">
        <v>57</v>
      </c>
      <c r="D40" s="20">
        <f>14392.3+756.59935+193+722.8285+207.89525</f>
        <v>16272.623099999999</v>
      </c>
      <c r="E40" s="20">
        <v>14392.3</v>
      </c>
      <c r="F40" s="20">
        <v>14392.3</v>
      </c>
      <c r="G40" s="1"/>
    </row>
    <row r="41" spans="1:7" outlineLevel="1" x14ac:dyDescent="0.25">
      <c r="A41" s="12" t="s">
        <v>38</v>
      </c>
      <c r="B41" s="13" t="s">
        <v>62</v>
      </c>
      <c r="C41" s="13" t="s">
        <v>54</v>
      </c>
      <c r="D41" s="19">
        <f>D42+D43+D44+D45</f>
        <v>207110.32436999999</v>
      </c>
      <c r="E41" s="19">
        <f t="shared" ref="E41:F41" si="6">E42+E43+E44+E45</f>
        <v>194521.72100000002</v>
      </c>
      <c r="F41" s="19">
        <f t="shared" si="6"/>
        <v>192445.70400000003</v>
      </c>
      <c r="G41" s="11"/>
    </row>
    <row r="42" spans="1:7" x14ac:dyDescent="0.25">
      <c r="A42" s="5" t="s">
        <v>39</v>
      </c>
      <c r="B42" s="6" t="s">
        <v>62</v>
      </c>
      <c r="C42" s="6" t="s">
        <v>53</v>
      </c>
      <c r="D42" s="20">
        <f>5793.5+37.84799</f>
        <v>5831.3479900000002</v>
      </c>
      <c r="E42" s="20">
        <v>5793.5</v>
      </c>
      <c r="F42" s="20">
        <v>5793.5</v>
      </c>
      <c r="G42" s="1"/>
    </row>
    <row r="43" spans="1:7" outlineLevel="1" x14ac:dyDescent="0.25">
      <c r="A43" s="5" t="s">
        <v>40</v>
      </c>
      <c r="B43" s="6" t="s">
        <v>62</v>
      </c>
      <c r="C43" s="6" t="s">
        <v>56</v>
      </c>
      <c r="D43" s="20">
        <f>13657.2+23897+6440+5143.2+7705.264+894.362+270.695-215.57-1394.6-576.76-16018.95754-306.29943-2988.6+2988.6-141.91265-95-4170-3300-1106-140-2000-45-140+17.6+298.023-70.38</f>
        <v>28602.864379999995</v>
      </c>
      <c r="E43" s="20">
        <f>13601.9+3623.18+266.941</f>
        <v>17492.020999999997</v>
      </c>
      <c r="F43" s="20">
        <f>13599+8596.748+904.556</f>
        <v>23100.304</v>
      </c>
      <c r="G43" s="1"/>
    </row>
    <row r="44" spans="1:7" outlineLevel="1" x14ac:dyDescent="0.25">
      <c r="A44" s="5" t="s">
        <v>41</v>
      </c>
      <c r="B44" s="6" t="s">
        <v>62</v>
      </c>
      <c r="C44" s="6" t="s">
        <v>57</v>
      </c>
      <c r="D44" s="20">
        <f>167304.1-75.1-23+0.012+700-1000</f>
        <v>166906.01199999999</v>
      </c>
      <c r="E44" s="20">
        <v>165778</v>
      </c>
      <c r="F44" s="20">
        <v>158093.70000000001</v>
      </c>
      <c r="G44" s="1"/>
    </row>
    <row r="45" spans="1:7" ht="31.5" outlineLevel="1" x14ac:dyDescent="0.25">
      <c r="A45" s="5" t="s">
        <v>42</v>
      </c>
      <c r="B45" s="6" t="s">
        <v>62</v>
      </c>
      <c r="C45" s="6" t="s">
        <v>59</v>
      </c>
      <c r="D45" s="20">
        <f>5458.2+126.2+112.9+72.8</f>
        <v>5770.0999999999995</v>
      </c>
      <c r="E45" s="20">
        <v>5458.2</v>
      </c>
      <c r="F45" s="20">
        <v>5458.2</v>
      </c>
      <c r="G45" s="1"/>
    </row>
    <row r="46" spans="1:7" outlineLevel="1" x14ac:dyDescent="0.25">
      <c r="A46" s="12" t="s">
        <v>43</v>
      </c>
      <c r="B46" s="13" t="s">
        <v>60</v>
      </c>
      <c r="C46" s="13" t="s">
        <v>54</v>
      </c>
      <c r="D46" s="19">
        <f>D47+D48+D49+D50</f>
        <v>272644.60010000004</v>
      </c>
      <c r="E46" s="19">
        <f t="shared" ref="E46:F46" si="7">E47+E48+E49+E50</f>
        <v>167571.204</v>
      </c>
      <c r="F46" s="19">
        <f t="shared" si="7"/>
        <v>196532.67500000002</v>
      </c>
      <c r="G46" s="15"/>
    </row>
    <row r="47" spans="1:7" x14ac:dyDescent="0.25">
      <c r="A47" s="5" t="s">
        <v>44</v>
      </c>
      <c r="B47" s="6" t="s">
        <v>60</v>
      </c>
      <c r="C47" s="6" t="s">
        <v>53</v>
      </c>
      <c r="D47" s="20">
        <f>159787.348+4077.3+305.0205+1537.5465+45202.499+377.6-1613.8+959.9896+13521.6+406.40558-0.14213</f>
        <v>224561.36705000003</v>
      </c>
      <c r="E47" s="20">
        <v>157841.97500000001</v>
      </c>
      <c r="F47" s="20">
        <v>156857.69500000001</v>
      </c>
      <c r="G47" s="1"/>
    </row>
    <row r="48" spans="1:7" outlineLevel="1" x14ac:dyDescent="0.25">
      <c r="A48" s="5" t="s">
        <v>45</v>
      </c>
      <c r="B48" s="6" t="s">
        <v>60</v>
      </c>
      <c r="C48" s="6" t="s">
        <v>55</v>
      </c>
      <c r="D48" s="20">
        <f>1000+14102.7-467.0205</f>
        <v>14635.6795</v>
      </c>
      <c r="E48" s="20">
        <v>1000</v>
      </c>
      <c r="F48" s="20">
        <v>31537.98</v>
      </c>
      <c r="G48" s="1"/>
    </row>
    <row r="49" spans="1:7" outlineLevel="1" x14ac:dyDescent="0.25">
      <c r="A49" s="5" t="s">
        <v>46</v>
      </c>
      <c r="B49" s="6" t="s">
        <v>60</v>
      </c>
      <c r="C49" s="6" t="s">
        <v>56</v>
      </c>
      <c r="D49" s="20">
        <f>579.091-19.5+6789.4+1014.5-2.641+3174.3+474.3+10800+1613.8</f>
        <v>24423.25</v>
      </c>
      <c r="E49" s="20">
        <f>612.529-20.3-9.729</f>
        <v>582.5</v>
      </c>
      <c r="F49" s="20">
        <v>0</v>
      </c>
      <c r="G49" s="1"/>
    </row>
    <row r="50" spans="1:7" ht="31.5" outlineLevel="1" x14ac:dyDescent="0.25">
      <c r="A50" s="5" t="s">
        <v>47</v>
      </c>
      <c r="B50" s="6" t="s">
        <v>60</v>
      </c>
      <c r="C50" s="6" t="s">
        <v>58</v>
      </c>
      <c r="D50" s="20">
        <f>8139.641+162+452.3773+114.91+454.5387+107.1-406.40558+0.14213</f>
        <v>9024.3035499999987</v>
      </c>
      <c r="E50" s="20">
        <f>8137+9.729</f>
        <v>8146.7290000000003</v>
      </c>
      <c r="F50" s="20">
        <v>8137</v>
      </c>
      <c r="G50" s="1"/>
    </row>
    <row r="51" spans="1:7" ht="21" customHeight="1" outlineLevel="1" x14ac:dyDescent="0.25">
      <c r="A51" s="12" t="s">
        <v>48</v>
      </c>
      <c r="B51" s="13" t="s">
        <v>65</v>
      </c>
      <c r="C51" s="13" t="s">
        <v>54</v>
      </c>
      <c r="D51" s="19">
        <f>D52+D53</f>
        <v>10683.102999999999</v>
      </c>
      <c r="E51" s="19">
        <f t="shared" ref="E51:F51" si="8">E52+E53</f>
        <v>9127.4</v>
      </c>
      <c r="F51" s="19">
        <f t="shared" si="8"/>
        <v>9127.4</v>
      </c>
      <c r="G51" s="1"/>
    </row>
    <row r="52" spans="1:7" ht="21" customHeight="1" x14ac:dyDescent="0.25">
      <c r="A52" s="5" t="s">
        <v>49</v>
      </c>
      <c r="B52" s="6" t="s">
        <v>65</v>
      </c>
      <c r="C52" s="6" t="s">
        <v>53</v>
      </c>
      <c r="D52" s="20">
        <f>4868.9+115.86+86.67+1272</f>
        <v>6343.4299999999994</v>
      </c>
      <c r="E52" s="20">
        <v>4868.8999999999996</v>
      </c>
      <c r="F52" s="20">
        <v>4868.8999999999996</v>
      </c>
      <c r="G52" s="1"/>
    </row>
    <row r="53" spans="1:7" outlineLevel="1" x14ac:dyDescent="0.25">
      <c r="A53" s="5" t="s">
        <v>50</v>
      </c>
      <c r="B53" s="6" t="s">
        <v>65</v>
      </c>
      <c r="C53" s="6" t="s">
        <v>55</v>
      </c>
      <c r="D53" s="20">
        <f>4258.5+71.8125+9.3605</f>
        <v>4339.6729999999998</v>
      </c>
      <c r="E53" s="20">
        <v>4258.5</v>
      </c>
      <c r="F53" s="20">
        <v>4258.5</v>
      </c>
      <c r="G53" s="1"/>
    </row>
    <row r="54" spans="1:7" ht="51.75" customHeight="1" outlineLevel="1" x14ac:dyDescent="0.25">
      <c r="A54" s="12" t="s">
        <v>51</v>
      </c>
      <c r="B54" s="13" t="s">
        <v>61</v>
      </c>
      <c r="C54" s="13" t="s">
        <v>54</v>
      </c>
      <c r="D54" s="19">
        <f>D55</f>
        <v>263.7</v>
      </c>
      <c r="E54" s="19">
        <f t="shared" ref="E54:F54" si="9">E55</f>
        <v>155.19999999999999</v>
      </c>
      <c r="F54" s="19">
        <f t="shared" si="9"/>
        <v>110</v>
      </c>
      <c r="G54" s="1"/>
    </row>
    <row r="55" spans="1:7" ht="31.5" x14ac:dyDescent="0.25">
      <c r="A55" s="5" t="s">
        <v>52</v>
      </c>
      <c r="B55" s="6" t="s">
        <v>61</v>
      </c>
      <c r="C55" s="6" t="s">
        <v>53</v>
      </c>
      <c r="D55" s="21">
        <f>152+100+11.7</f>
        <v>263.7</v>
      </c>
      <c r="E55" s="21">
        <f>56.6+98.6</f>
        <v>155.19999999999999</v>
      </c>
      <c r="F55" s="21">
        <f>31.9+78.1</f>
        <v>110</v>
      </c>
      <c r="G55" s="1"/>
    </row>
    <row r="56" spans="1:7" x14ac:dyDescent="0.25">
      <c r="A56" s="23" t="s">
        <v>68</v>
      </c>
      <c r="B56" s="24"/>
      <c r="C56" s="25"/>
      <c r="D56" s="22">
        <f>D11+D19+D23+D27+D32+D38+D41+D46+D51+D54</f>
        <v>3812514.5659400001</v>
      </c>
      <c r="E56" s="22">
        <f t="shared" ref="E56:F56" si="10">E11+E19+E23+E27+E32+E38+E41+E46+E51+E54</f>
        <v>2635237.7799999998</v>
      </c>
      <c r="F56" s="22">
        <f t="shared" si="10"/>
        <v>2625689.4479999994</v>
      </c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26"/>
      <c r="B58" s="27"/>
      <c r="C58" s="27"/>
      <c r="D58" s="27"/>
      <c r="E58" s="27"/>
      <c r="F58" s="27"/>
      <c r="G58" s="1"/>
    </row>
    <row r="60" spans="1:7" x14ac:dyDescent="0.25">
      <c r="D60" s="18"/>
    </row>
  </sheetData>
  <mergeCells count="7">
    <mergeCell ref="A56:C56"/>
    <mergeCell ref="A58:F58"/>
    <mergeCell ref="D2:F2"/>
    <mergeCell ref="E3:F3"/>
    <mergeCell ref="A6:F6"/>
    <mergeCell ref="A8:F8"/>
    <mergeCell ref="A9:F9"/>
  </mergeCells>
  <pageMargins left="0.6692913385826772" right="0.23622047244094491" top="0.53" bottom="0.49" header="0.19685039370078741" footer="0.15748031496062992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Функциональная структура бюджета (по черновику)&lt;/VariantName&gt;&#10;  &lt;VariantLink&gt;22600971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243E637-67F3-4F8D-BC76-14DE4A9A84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2022-12-22T12:39:54Z</cp:lastPrinted>
  <dcterms:created xsi:type="dcterms:W3CDTF">2021-11-11T11:56:53Z</dcterms:created>
  <dcterms:modified xsi:type="dcterms:W3CDTF">2023-12-29T07:00:18Z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Функциональная структура бюджета (по черновику)</vt:lpwstr>
  </property>
  <property fmtid="{D5CDD505-2E9C-101B-9397-08002B2CF9AE}" pid="11" name="Код отчета">
    <vt:lpwstr>43D1F038C4AD47858D150F0E605FB9</vt:lpwstr>
  </property>
  <property fmtid="{D5CDD505-2E9C-101B-9397-08002B2CF9AE}" pid="12" name="Локальная база">
    <vt:lpwstr>не используется</vt:lpwstr>
  </property>
</Properties>
</file>