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O:\Совет народных депутатов\Sharonova\Совет 2023.11.16\уточнение 2023 ноябрь\"/>
    </mc:Choice>
  </mc:AlternateContent>
  <xr:revisionPtr revIDLastSave="0" documentId="13_ncr:1_{2891C51A-6CCD-4CE9-B6E9-1A95ED2A6E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окумент" sheetId="2" r:id="rId1"/>
  </sheets>
  <definedNames>
    <definedName name="_xlnm.Print_Titles" localSheetId="0">Документ!$9:$9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77" i="2" l="1"/>
  <c r="I555" i="2"/>
  <c r="I59" i="2"/>
  <c r="I58" i="2"/>
  <c r="I57" i="2" s="1"/>
  <c r="I64" i="2"/>
  <c r="I79" i="2"/>
  <c r="I97" i="2"/>
  <c r="I94" i="2"/>
  <c r="I93" i="2" s="1"/>
  <c r="I168" i="2"/>
  <c r="I583" i="2"/>
  <c r="I581" i="2"/>
  <c r="I579" i="2"/>
  <c r="I577" i="2" s="1"/>
  <c r="I576" i="2"/>
  <c r="I587" i="2"/>
  <c r="I53" i="2"/>
  <c r="I354" i="2"/>
  <c r="I352" i="2" s="1"/>
  <c r="I353" i="2"/>
  <c r="I350" i="2"/>
  <c r="I349" i="2"/>
  <c r="I343" i="2"/>
  <c r="I341" i="2" s="1"/>
  <c r="I342" i="2"/>
  <c r="I549" i="2"/>
  <c r="I521" i="2"/>
  <c r="K226" i="2"/>
  <c r="K223" i="2" s="1"/>
  <c r="J226" i="2"/>
  <c r="I226" i="2"/>
  <c r="K220" i="2"/>
  <c r="J220" i="2"/>
  <c r="J218" i="2" s="1"/>
  <c r="I220" i="2"/>
  <c r="K219" i="2"/>
  <c r="J219" i="2"/>
  <c r="I219" i="2"/>
  <c r="I218" i="2" s="1"/>
  <c r="K217" i="2"/>
  <c r="J217" i="2"/>
  <c r="I217" i="2"/>
  <c r="I246" i="2"/>
  <c r="I245" i="2" s="1"/>
  <c r="I347" i="2"/>
  <c r="I295" i="2"/>
  <c r="I529" i="2"/>
  <c r="I528" i="2"/>
  <c r="I527" i="2" s="1"/>
  <c r="I351" i="2"/>
  <c r="I448" i="2"/>
  <c r="I447" i="2"/>
  <c r="I648" i="2"/>
  <c r="I647" i="2" s="1"/>
  <c r="I87" i="2"/>
  <c r="I190" i="2"/>
  <c r="I335" i="2"/>
  <c r="I334" i="2"/>
  <c r="I333" i="2" s="1"/>
  <c r="I332" i="2"/>
  <c r="I331" i="2"/>
  <c r="I329" i="2"/>
  <c r="I328" i="2"/>
  <c r="I327" i="2" s="1"/>
  <c r="I318" i="2"/>
  <c r="I278" i="2"/>
  <c r="I151" i="2"/>
  <c r="I146" i="2"/>
  <c r="I145" i="2" s="1"/>
  <c r="I155" i="2"/>
  <c r="I438" i="2"/>
  <c r="I502" i="2"/>
  <c r="I493" i="2"/>
  <c r="I492" i="2" s="1"/>
  <c r="I490" i="2"/>
  <c r="I480" i="2"/>
  <c r="I397" i="2"/>
  <c r="I390" i="2"/>
  <c r="I389" i="2" s="1"/>
  <c r="I55" i="2"/>
  <c r="I49" i="2"/>
  <c r="I603" i="2"/>
  <c r="I602" i="2"/>
  <c r="I670" i="2"/>
  <c r="I668" i="2"/>
  <c r="I643" i="2"/>
  <c r="I48" i="2"/>
  <c r="I47" i="2" s="1"/>
  <c r="I562" i="2"/>
  <c r="I561" i="2"/>
  <c r="I586" i="2"/>
  <c r="I546" i="2"/>
  <c r="I545" i="2"/>
  <c r="I538" i="2"/>
  <c r="I77" i="2"/>
  <c r="I28" i="2"/>
  <c r="I27" i="2" s="1"/>
  <c r="I62" i="2"/>
  <c r="K43" i="2"/>
  <c r="J43" i="2"/>
  <c r="I43" i="2"/>
  <c r="I40" i="2" s="1"/>
  <c r="I542" i="2"/>
  <c r="I416" i="2"/>
  <c r="K41" i="2"/>
  <c r="J41" i="2"/>
  <c r="J40" i="2" s="1"/>
  <c r="K40" i="2"/>
  <c r="I41" i="2"/>
  <c r="I662" i="2"/>
  <c r="I661" i="2" s="1"/>
  <c r="I517" i="2"/>
  <c r="I514" i="2"/>
  <c r="I512" i="2"/>
  <c r="I544" i="2"/>
  <c r="I173" i="2"/>
  <c r="I338" i="2"/>
  <c r="I301" i="2"/>
  <c r="I300" i="2" s="1"/>
  <c r="I293" i="2"/>
  <c r="K233" i="2"/>
  <c r="J233" i="2"/>
  <c r="I233" i="2"/>
  <c r="K231" i="2"/>
  <c r="J231" i="2"/>
  <c r="I231" i="2"/>
  <c r="K229" i="2"/>
  <c r="J229" i="2"/>
  <c r="I229" i="2"/>
  <c r="I139" i="2"/>
  <c r="I445" i="2"/>
  <c r="I443" i="2" s="1"/>
  <c r="I444" i="2"/>
  <c r="I435" i="2"/>
  <c r="I372" i="2"/>
  <c r="I395" i="2"/>
  <c r="I394" i="2" s="1"/>
  <c r="I393" i="2"/>
  <c r="I409" i="2"/>
  <c r="K405" i="2"/>
  <c r="J405" i="2"/>
  <c r="I405" i="2"/>
  <c r="I403" i="2"/>
  <c r="I60" i="2"/>
  <c r="J74" i="2"/>
  <c r="I666" i="2"/>
  <c r="K516" i="2"/>
  <c r="K515" i="2" s="1"/>
  <c r="J516" i="2"/>
  <c r="J515" i="2" s="1"/>
  <c r="I516" i="2"/>
  <c r="I515" i="2" s="1"/>
  <c r="K552" i="2"/>
  <c r="J552" i="2"/>
  <c r="I552" i="2"/>
  <c r="I534" i="2"/>
  <c r="I533" i="2" s="1"/>
  <c r="I531" i="2"/>
  <c r="K318" i="2"/>
  <c r="J318" i="2"/>
  <c r="K319" i="2"/>
  <c r="J319" i="2"/>
  <c r="I319" i="2"/>
  <c r="K315" i="2"/>
  <c r="J315" i="2"/>
  <c r="I315" i="2"/>
  <c r="K312" i="2"/>
  <c r="J312" i="2"/>
  <c r="I312" i="2"/>
  <c r="I309" i="2"/>
  <c r="K257" i="2"/>
  <c r="J257" i="2"/>
  <c r="I257" i="2"/>
  <c r="I567" i="2"/>
  <c r="I441" i="2"/>
  <c r="I430" i="2"/>
  <c r="I428" i="2"/>
  <c r="I427" i="2" s="1"/>
  <c r="I426" i="2"/>
  <c r="K138" i="2"/>
  <c r="J138" i="2"/>
  <c r="K137" i="2"/>
  <c r="J137" i="2"/>
  <c r="I138" i="2"/>
  <c r="I137" i="2" s="1"/>
  <c r="K241" i="2"/>
  <c r="J241" i="2"/>
  <c r="I241" i="2"/>
  <c r="K665" i="2"/>
  <c r="J665" i="2"/>
  <c r="I665" i="2"/>
  <c r="I237" i="2"/>
  <c r="K237" i="2"/>
  <c r="J237" i="2"/>
  <c r="K141" i="2"/>
  <c r="K140" i="2" s="1"/>
  <c r="J141" i="2"/>
  <c r="J140" i="2"/>
  <c r="I141" i="2"/>
  <c r="I140" i="2" s="1"/>
  <c r="K475" i="2"/>
  <c r="K474" i="2" s="1"/>
  <c r="J475" i="2"/>
  <c r="J474" i="2"/>
  <c r="I475" i="2"/>
  <c r="I474" i="2" s="1"/>
  <c r="K172" i="2"/>
  <c r="J172" i="2"/>
  <c r="J171" i="2" s="1"/>
  <c r="J170" i="2" s="1"/>
  <c r="K171" i="2"/>
  <c r="K170" i="2"/>
  <c r="I172" i="2"/>
  <c r="I171" i="2" s="1"/>
  <c r="I170" i="2" s="1"/>
  <c r="I215" i="2"/>
  <c r="K197" i="2"/>
  <c r="J197" i="2"/>
  <c r="J196" i="2" s="1"/>
  <c r="J195" i="2" s="1"/>
  <c r="I197" i="2"/>
  <c r="K194" i="2"/>
  <c r="J194" i="2"/>
  <c r="I194" i="2"/>
  <c r="I164" i="2"/>
  <c r="I449" i="2"/>
  <c r="I433" i="2"/>
  <c r="I413" i="2"/>
  <c r="I412" i="2" s="1"/>
  <c r="I387" i="2"/>
  <c r="I23" i="2"/>
  <c r="I184" i="2"/>
  <c r="I154" i="2"/>
  <c r="I153" i="2" s="1"/>
  <c r="I74" i="2"/>
  <c r="K67" i="2"/>
  <c r="J67" i="2"/>
  <c r="I67" i="2"/>
  <c r="J64" i="2"/>
  <c r="I95" i="2"/>
  <c r="K38" i="2"/>
  <c r="J38" i="2"/>
  <c r="J37" i="2" s="1"/>
  <c r="K37" i="2"/>
  <c r="I38" i="2"/>
  <c r="I37" i="2" s="1"/>
  <c r="I82" i="2"/>
  <c r="K651" i="2"/>
  <c r="J651" i="2"/>
  <c r="I657" i="2"/>
  <c r="I654" i="2"/>
  <c r="I651" i="2" s="1"/>
  <c r="I656" i="2"/>
  <c r="I21" i="2"/>
  <c r="I462" i="2"/>
  <c r="I461" i="2"/>
  <c r="I460" i="2" s="1"/>
  <c r="I459" i="2" s="1"/>
  <c r="I458" i="2" s="1"/>
  <c r="K677" i="2"/>
  <c r="J677" i="2"/>
  <c r="I256" i="2"/>
  <c r="I236" i="2"/>
  <c r="I235" i="2" s="1"/>
  <c r="I228" i="2"/>
  <c r="K638" i="2"/>
  <c r="J638" i="2"/>
  <c r="K637" i="2"/>
  <c r="K636" i="2" s="1"/>
  <c r="K635" i="2" s="1"/>
  <c r="J637" i="2"/>
  <c r="J636" i="2" s="1"/>
  <c r="J635" i="2" s="1"/>
  <c r="I638" i="2"/>
  <c r="I637" i="2" s="1"/>
  <c r="I636" i="2" s="1"/>
  <c r="I635" i="2" s="1"/>
  <c r="K283" i="2"/>
  <c r="J283" i="2"/>
  <c r="K207" i="2"/>
  <c r="K206" i="2" s="1"/>
  <c r="J207" i="2"/>
  <c r="J206" i="2"/>
  <c r="I206" i="2"/>
  <c r="I207" i="2"/>
  <c r="I276" i="2"/>
  <c r="I262" i="2"/>
  <c r="I261" i="2" s="1"/>
  <c r="I503" i="2"/>
  <c r="I411" i="2"/>
  <c r="I33" i="2"/>
  <c r="I601" i="2"/>
  <c r="I600" i="2" s="1"/>
  <c r="I31" i="2"/>
  <c r="K21" i="2"/>
  <c r="J21" i="2"/>
  <c r="J20" i="2" s="1"/>
  <c r="I361" i="2"/>
  <c r="I359" i="2"/>
  <c r="I17" i="2"/>
  <c r="K255" i="2"/>
  <c r="J255" i="2"/>
  <c r="I255" i="2"/>
  <c r="I283" i="2"/>
  <c r="I85" i="2"/>
  <c r="I607" i="2"/>
  <c r="I606" i="2" s="1"/>
  <c r="I605" i="2" s="1"/>
  <c r="K105" i="2"/>
  <c r="J105" i="2"/>
  <c r="K104" i="2"/>
  <c r="J104" i="2"/>
  <c r="I105" i="2"/>
  <c r="I104" i="2" s="1"/>
  <c r="I508" i="2"/>
  <c r="K16" i="2"/>
  <c r="K15" i="2" s="1"/>
  <c r="J16" i="2"/>
  <c r="J15" i="2" s="1"/>
  <c r="I16" i="2"/>
  <c r="I15" i="2" s="1"/>
  <c r="I664" i="2"/>
  <c r="I663" i="2" s="1"/>
  <c r="I375" i="2"/>
  <c r="I123" i="2"/>
  <c r="J369" i="2"/>
  <c r="J368" i="2" s="1"/>
  <c r="I369" i="2"/>
  <c r="I368" i="2" s="1"/>
  <c r="J648" i="2"/>
  <c r="I165" i="2"/>
  <c r="K162" i="2"/>
  <c r="J162" i="2"/>
  <c r="I162" i="2"/>
  <c r="K158" i="2"/>
  <c r="J158" i="2"/>
  <c r="I158" i="2"/>
  <c r="I157" i="2" s="1"/>
  <c r="K155" i="2"/>
  <c r="J155" i="2"/>
  <c r="I437" i="2"/>
  <c r="I620" i="2"/>
  <c r="I619" i="2" s="1"/>
  <c r="I78" i="2"/>
  <c r="I96" i="2"/>
  <c r="K661" i="2"/>
  <c r="J661" i="2"/>
  <c r="K507" i="2"/>
  <c r="J507" i="2"/>
  <c r="J506" i="2" s="1"/>
  <c r="J505" i="2" s="1"/>
  <c r="K506" i="2"/>
  <c r="K505" i="2" s="1"/>
  <c r="I507" i="2"/>
  <c r="I506" i="2" s="1"/>
  <c r="I505" i="2" s="1"/>
  <c r="K122" i="2"/>
  <c r="J122" i="2"/>
  <c r="I122" i="2"/>
  <c r="J367" i="2"/>
  <c r="J366" i="2" s="1"/>
  <c r="J365" i="2" s="1"/>
  <c r="I367" i="2"/>
  <c r="K235" i="2"/>
  <c r="J235" i="2"/>
  <c r="K466" i="2"/>
  <c r="J466" i="2"/>
  <c r="I466" i="2"/>
  <c r="K619" i="2"/>
  <c r="J619" i="2"/>
  <c r="K648" i="2"/>
  <c r="K464" i="2"/>
  <c r="K463" i="2" s="1"/>
  <c r="J464" i="2"/>
  <c r="I464" i="2"/>
  <c r="I463" i="2" s="1"/>
  <c r="K211" i="2"/>
  <c r="K210" i="2" s="1"/>
  <c r="K209" i="2" s="1"/>
  <c r="J36" i="2"/>
  <c r="I36" i="2"/>
  <c r="I35" i="2" s="1"/>
  <c r="I34" i="2" s="1"/>
  <c r="K96" i="2"/>
  <c r="J96" i="2"/>
  <c r="K548" i="2"/>
  <c r="J548" i="2"/>
  <c r="I548" i="2"/>
  <c r="I539" i="2"/>
  <c r="K103" i="2"/>
  <c r="J103" i="2"/>
  <c r="I103" i="2"/>
  <c r="I102" i="2" s="1"/>
  <c r="K101" i="2"/>
  <c r="J101" i="2"/>
  <c r="I101" i="2"/>
  <c r="K22" i="2"/>
  <c r="J22" i="2"/>
  <c r="I22" i="2"/>
  <c r="K20" i="2"/>
  <c r="I20" i="2"/>
  <c r="K617" i="2"/>
  <c r="J617" i="2"/>
  <c r="I617" i="2"/>
  <c r="K368" i="2"/>
  <c r="K324" i="2"/>
  <c r="J324" i="2"/>
  <c r="I324" i="2"/>
  <c r="K304" i="2"/>
  <c r="J304" i="2"/>
  <c r="I304" i="2"/>
  <c r="K633" i="2"/>
  <c r="J633" i="2"/>
  <c r="I633" i="2"/>
  <c r="K306" i="2"/>
  <c r="J306" i="2"/>
  <c r="I306" i="2"/>
  <c r="K451" i="2"/>
  <c r="J451" i="2"/>
  <c r="K450" i="2"/>
  <c r="J450" i="2"/>
  <c r="I450" i="2"/>
  <c r="I451" i="2"/>
  <c r="K443" i="2"/>
  <c r="J443" i="2"/>
  <c r="K631" i="2"/>
  <c r="J631" i="2"/>
  <c r="I631" i="2"/>
  <c r="K298" i="2"/>
  <c r="J298" i="2"/>
  <c r="I298" i="2"/>
  <c r="J210" i="2"/>
  <c r="J209" i="2"/>
  <c r="I210" i="2"/>
  <c r="I209" i="2" s="1"/>
  <c r="I205" i="2" s="1"/>
  <c r="K35" i="2"/>
  <c r="K34" i="2" s="1"/>
  <c r="J35" i="2"/>
  <c r="J34" i="2" s="1"/>
  <c r="K322" i="2"/>
  <c r="K321" i="2" s="1"/>
  <c r="J322" i="2"/>
  <c r="J321" i="2" s="1"/>
  <c r="I322" i="2"/>
  <c r="I321" i="2" s="1"/>
  <c r="K296" i="2"/>
  <c r="J296" i="2"/>
  <c r="I296" i="2"/>
  <c r="J152" i="2"/>
  <c r="J150" i="2" s="1"/>
  <c r="I152" i="2"/>
  <c r="J121" i="2"/>
  <c r="I121" i="2"/>
  <c r="I70" i="2"/>
  <c r="I71" i="2"/>
  <c r="K76" i="2"/>
  <c r="K75" i="2" s="1"/>
  <c r="J76" i="2"/>
  <c r="J75" i="2" s="1"/>
  <c r="I14" i="2"/>
  <c r="I13" i="2" s="1"/>
  <c r="I12" i="2" s="1"/>
  <c r="K649" i="2"/>
  <c r="J649" i="2"/>
  <c r="I649" i="2"/>
  <c r="K366" i="2"/>
  <c r="K365" i="2" s="1"/>
  <c r="I366" i="2"/>
  <c r="K25" i="2"/>
  <c r="J25" i="2"/>
  <c r="I25" i="2"/>
  <c r="I129" i="2"/>
  <c r="I127" i="2"/>
  <c r="I126" i="2" s="1"/>
  <c r="K128" i="2"/>
  <c r="J128" i="2"/>
  <c r="I128" i="2"/>
  <c r="K126" i="2"/>
  <c r="J126" i="2"/>
  <c r="K132" i="2"/>
  <c r="J132" i="2"/>
  <c r="I132" i="2"/>
  <c r="K32" i="2"/>
  <c r="J32" i="2"/>
  <c r="I32" i="2"/>
  <c r="K513" i="2"/>
  <c r="J513" i="2"/>
  <c r="I513" i="2"/>
  <c r="K90" i="2"/>
  <c r="J90" i="2"/>
  <c r="I90" i="2"/>
  <c r="K382" i="2"/>
  <c r="J382" i="2"/>
  <c r="I382" i="2"/>
  <c r="J647" i="2"/>
  <c r="K30" i="2"/>
  <c r="K29" i="2" s="1"/>
  <c r="J30" i="2"/>
  <c r="I30" i="2"/>
  <c r="K380" i="2"/>
  <c r="J380" i="2"/>
  <c r="J379" i="2" s="1"/>
  <c r="I380" i="2"/>
  <c r="I379" i="2" s="1"/>
  <c r="K377" i="2"/>
  <c r="J377" i="2"/>
  <c r="J376" i="2" s="1"/>
  <c r="K376" i="2"/>
  <c r="I377" i="2"/>
  <c r="I376" i="2" s="1"/>
  <c r="K88" i="2"/>
  <c r="J88" i="2"/>
  <c r="I88" i="2"/>
  <c r="K302" i="2"/>
  <c r="J302" i="2"/>
  <c r="I302" i="2"/>
  <c r="K418" i="2"/>
  <c r="J418" i="2"/>
  <c r="J417" i="2" s="1"/>
  <c r="I418" i="2"/>
  <c r="K416" i="2"/>
  <c r="K415" i="2" s="1"/>
  <c r="J416" i="2"/>
  <c r="I415" i="2"/>
  <c r="I425" i="2"/>
  <c r="J623" i="2"/>
  <c r="J621" i="2" s="1"/>
  <c r="I623" i="2"/>
  <c r="I621" i="2" s="1"/>
  <c r="I537" i="2"/>
  <c r="I536" i="2" s="1"/>
  <c r="K511" i="2"/>
  <c r="K510" i="2" s="1"/>
  <c r="K509" i="2" s="1"/>
  <c r="J511" i="2"/>
  <c r="J510" i="2" s="1"/>
  <c r="J509" i="2" s="1"/>
  <c r="I511" i="2"/>
  <c r="J120" i="2"/>
  <c r="J119" i="2" s="1"/>
  <c r="J118" i="2" s="1"/>
  <c r="K645" i="2"/>
  <c r="J645" i="2"/>
  <c r="I645" i="2"/>
  <c r="K663" i="2"/>
  <c r="J663" i="2"/>
  <c r="K13" i="2"/>
  <c r="J13" i="2"/>
  <c r="J12" i="2" s="1"/>
  <c r="J11" i="2" s="1"/>
  <c r="K12" i="2"/>
  <c r="K11" i="2" s="1"/>
  <c r="K27" i="2"/>
  <c r="K24" i="2" s="1"/>
  <c r="J27" i="2"/>
  <c r="J24" i="2" s="1"/>
  <c r="K47" i="2"/>
  <c r="J47" i="2"/>
  <c r="K52" i="2"/>
  <c r="J52" i="2"/>
  <c r="K54" i="2"/>
  <c r="J54" i="2"/>
  <c r="I54" i="2"/>
  <c r="K57" i="2"/>
  <c r="J57" i="2"/>
  <c r="K62" i="2"/>
  <c r="J62" i="2"/>
  <c r="K65" i="2"/>
  <c r="J65" i="2"/>
  <c r="I65" i="2"/>
  <c r="K70" i="2"/>
  <c r="J70" i="2"/>
  <c r="K73" i="2"/>
  <c r="J73" i="2"/>
  <c r="I73" i="2"/>
  <c r="K81" i="2"/>
  <c r="K80" i="2" s="1"/>
  <c r="J81" i="2"/>
  <c r="J80" i="2"/>
  <c r="I81" i="2"/>
  <c r="I80" i="2" s="1"/>
  <c r="K84" i="2"/>
  <c r="J84" i="2"/>
  <c r="I84" i="2"/>
  <c r="K86" i="2"/>
  <c r="J86" i="2"/>
  <c r="I86" i="2"/>
  <c r="K93" i="2"/>
  <c r="J93" i="2"/>
  <c r="K98" i="2"/>
  <c r="J98" i="2"/>
  <c r="I98" i="2"/>
  <c r="K100" i="2"/>
  <c r="J100" i="2"/>
  <c r="I100" i="2"/>
  <c r="K102" i="2"/>
  <c r="J102" i="2"/>
  <c r="K110" i="2"/>
  <c r="J110" i="2"/>
  <c r="J109" i="2" s="1"/>
  <c r="K109" i="2"/>
  <c r="I110" i="2"/>
  <c r="I109" i="2" s="1"/>
  <c r="K114" i="2"/>
  <c r="K113" i="2" s="1"/>
  <c r="J114" i="2"/>
  <c r="J113" i="2" s="1"/>
  <c r="I114" i="2"/>
  <c r="I113" i="2" s="1"/>
  <c r="K120" i="2"/>
  <c r="K119" i="2" s="1"/>
  <c r="K118" i="2" s="1"/>
  <c r="I120" i="2"/>
  <c r="K130" i="2"/>
  <c r="K125" i="2" s="1"/>
  <c r="J130" i="2"/>
  <c r="J125" i="2" s="1"/>
  <c r="I130" i="2"/>
  <c r="K135" i="2"/>
  <c r="K134" i="2" s="1"/>
  <c r="J135" i="2"/>
  <c r="J134" i="2" s="1"/>
  <c r="I135" i="2"/>
  <c r="I134" i="2" s="1"/>
  <c r="K145" i="2"/>
  <c r="J145" i="2"/>
  <c r="K148" i="2"/>
  <c r="J148" i="2"/>
  <c r="I148" i="2"/>
  <c r="K150" i="2"/>
  <c r="I150" i="2"/>
  <c r="K154" i="2"/>
  <c r="K153" i="2" s="1"/>
  <c r="J154" i="2"/>
  <c r="J153" i="2" s="1"/>
  <c r="K157" i="2"/>
  <c r="J157" i="2"/>
  <c r="K161" i="2"/>
  <c r="J161" i="2"/>
  <c r="I161" i="2"/>
  <c r="K163" i="2"/>
  <c r="J163" i="2"/>
  <c r="I163" i="2"/>
  <c r="K167" i="2"/>
  <c r="J167" i="2"/>
  <c r="K166" i="2"/>
  <c r="J166" i="2"/>
  <c r="I167" i="2"/>
  <c r="I166" i="2" s="1"/>
  <c r="K176" i="2"/>
  <c r="J176" i="2"/>
  <c r="I176" i="2"/>
  <c r="K178" i="2"/>
  <c r="J178" i="2"/>
  <c r="I178" i="2"/>
  <c r="K180" i="2"/>
  <c r="J180" i="2"/>
  <c r="I180" i="2"/>
  <c r="K183" i="2"/>
  <c r="K182" i="2" s="1"/>
  <c r="J183" i="2"/>
  <c r="J182" i="2" s="1"/>
  <c r="I183" i="2"/>
  <c r="I182" i="2" s="1"/>
  <c r="K189" i="2"/>
  <c r="K188" i="2" s="1"/>
  <c r="J189" i="2"/>
  <c r="J188" i="2" s="1"/>
  <c r="I189" i="2"/>
  <c r="I188" i="2" s="1"/>
  <c r="K193" i="2"/>
  <c r="J193" i="2"/>
  <c r="J192" i="2" s="1"/>
  <c r="K192" i="2"/>
  <c r="I193" i="2"/>
  <c r="I192" i="2" s="1"/>
  <c r="K196" i="2"/>
  <c r="K195" i="2" s="1"/>
  <c r="I196" i="2"/>
  <c r="I195" i="2" s="1"/>
  <c r="K199" i="2"/>
  <c r="K198" i="2" s="1"/>
  <c r="J199" i="2"/>
  <c r="J198" i="2" s="1"/>
  <c r="I199" i="2"/>
  <c r="I198" i="2" s="1"/>
  <c r="K214" i="2"/>
  <c r="J214" i="2"/>
  <c r="I214" i="2"/>
  <c r="K216" i="2"/>
  <c r="J216" i="2"/>
  <c r="I216" i="2"/>
  <c r="K218" i="2"/>
  <c r="K221" i="2"/>
  <c r="J221" i="2"/>
  <c r="I221" i="2"/>
  <c r="J223" i="2"/>
  <c r="I223" i="2"/>
  <c r="K227" i="2"/>
  <c r="J227" i="2"/>
  <c r="I227" i="2"/>
  <c r="K243" i="2"/>
  <c r="J243" i="2"/>
  <c r="I243" i="2"/>
  <c r="K245" i="2"/>
  <c r="J245" i="2"/>
  <c r="K247" i="2"/>
  <c r="J247" i="2"/>
  <c r="I247" i="2"/>
  <c r="K249" i="2"/>
  <c r="J249" i="2"/>
  <c r="I249" i="2"/>
  <c r="K251" i="2"/>
  <c r="J251" i="2"/>
  <c r="I251" i="2"/>
  <c r="K261" i="2"/>
  <c r="J261" i="2"/>
  <c r="K263" i="2"/>
  <c r="J263" i="2"/>
  <c r="I263" i="2"/>
  <c r="K265" i="2"/>
  <c r="J265" i="2"/>
  <c r="I265" i="2"/>
  <c r="K267" i="2"/>
  <c r="J267" i="2"/>
  <c r="I267" i="2"/>
  <c r="K270" i="2"/>
  <c r="J270" i="2"/>
  <c r="I270" i="2"/>
  <c r="K273" i="2"/>
  <c r="J273" i="2"/>
  <c r="I273" i="2"/>
  <c r="K275" i="2"/>
  <c r="J275" i="2"/>
  <c r="I275" i="2"/>
  <c r="K277" i="2"/>
  <c r="J277" i="2"/>
  <c r="I277" i="2"/>
  <c r="K280" i="2"/>
  <c r="J280" i="2"/>
  <c r="I280" i="2"/>
  <c r="K282" i="2"/>
  <c r="J282" i="2"/>
  <c r="I282" i="2"/>
  <c r="K284" i="2"/>
  <c r="J284" i="2"/>
  <c r="I284" i="2"/>
  <c r="K286" i="2"/>
  <c r="J286" i="2"/>
  <c r="I286" i="2"/>
  <c r="K288" i="2"/>
  <c r="J288" i="2"/>
  <c r="I288" i="2"/>
  <c r="K290" i="2"/>
  <c r="J290" i="2"/>
  <c r="I290" i="2"/>
  <c r="K292" i="2"/>
  <c r="J292" i="2"/>
  <c r="I292" i="2"/>
  <c r="K294" i="2"/>
  <c r="J294" i="2"/>
  <c r="I294" i="2"/>
  <c r="K300" i="2"/>
  <c r="J300" i="2"/>
  <c r="K308" i="2"/>
  <c r="J308" i="2"/>
  <c r="I308" i="2"/>
  <c r="K311" i="2"/>
  <c r="J311" i="2"/>
  <c r="I311" i="2"/>
  <c r="K313" i="2"/>
  <c r="J313" i="2"/>
  <c r="I313" i="2"/>
  <c r="K317" i="2"/>
  <c r="J317" i="2"/>
  <c r="I317" i="2"/>
  <c r="K327" i="2"/>
  <c r="J327" i="2"/>
  <c r="K330" i="2"/>
  <c r="J330" i="2"/>
  <c r="I330" i="2"/>
  <c r="K333" i="2"/>
  <c r="J333" i="2"/>
  <c r="K337" i="2"/>
  <c r="K336" i="2" s="1"/>
  <c r="J337" i="2"/>
  <c r="J336" i="2" s="1"/>
  <c r="I337" i="2"/>
  <c r="I336" i="2" s="1"/>
  <c r="K341" i="2"/>
  <c r="J341" i="2"/>
  <c r="K345" i="2"/>
  <c r="J345" i="2"/>
  <c r="I345" i="2"/>
  <c r="K348" i="2"/>
  <c r="J348" i="2"/>
  <c r="I348" i="2"/>
  <c r="K352" i="2"/>
  <c r="J352" i="2"/>
  <c r="K358" i="2"/>
  <c r="J358" i="2"/>
  <c r="I358" i="2"/>
  <c r="K360" i="2"/>
  <c r="J360" i="2"/>
  <c r="I360" i="2"/>
  <c r="K362" i="2"/>
  <c r="J362" i="2"/>
  <c r="I362" i="2"/>
  <c r="K371" i="2"/>
  <c r="K370" i="2" s="1"/>
  <c r="J371" i="2"/>
  <c r="J370" i="2" s="1"/>
  <c r="I371" i="2"/>
  <c r="I370" i="2" s="1"/>
  <c r="K374" i="2"/>
  <c r="K373" i="2" s="1"/>
  <c r="J374" i="2"/>
  <c r="J373" i="2" s="1"/>
  <c r="I374" i="2"/>
  <c r="I373" i="2" s="1"/>
  <c r="K386" i="2"/>
  <c r="K385" i="2" s="1"/>
  <c r="J386" i="2"/>
  <c r="J385" i="2" s="1"/>
  <c r="I386" i="2"/>
  <c r="I385" i="2" s="1"/>
  <c r="K389" i="2"/>
  <c r="J389" i="2"/>
  <c r="K392" i="2"/>
  <c r="J392" i="2"/>
  <c r="I392" i="2"/>
  <c r="K394" i="2"/>
  <c r="J394" i="2"/>
  <c r="K396" i="2"/>
  <c r="J396" i="2"/>
  <c r="I396" i="2"/>
  <c r="K400" i="2"/>
  <c r="J400" i="2"/>
  <c r="I400" i="2"/>
  <c r="I399" i="2" s="1"/>
  <c r="K402" i="2"/>
  <c r="J402" i="2"/>
  <c r="I402" i="2"/>
  <c r="K408" i="2"/>
  <c r="J408" i="2"/>
  <c r="I408" i="2"/>
  <c r="K410" i="2"/>
  <c r="J410" i="2"/>
  <c r="I410" i="2"/>
  <c r="K412" i="2"/>
  <c r="J412" i="2"/>
  <c r="J415" i="2"/>
  <c r="K417" i="2"/>
  <c r="I417" i="2"/>
  <c r="K420" i="2"/>
  <c r="J420" i="2"/>
  <c r="K419" i="2"/>
  <c r="J419" i="2"/>
  <c r="I420" i="2"/>
  <c r="I419" i="2" s="1"/>
  <c r="K425" i="2"/>
  <c r="J425" i="2"/>
  <c r="K427" i="2"/>
  <c r="J427" i="2"/>
  <c r="K429" i="2"/>
  <c r="J429" i="2"/>
  <c r="I429" i="2"/>
  <c r="K432" i="2"/>
  <c r="J432" i="2"/>
  <c r="I432" i="2"/>
  <c r="K434" i="2"/>
  <c r="J434" i="2"/>
  <c r="I434" i="2"/>
  <c r="K437" i="2"/>
  <c r="J437" i="2"/>
  <c r="K446" i="2"/>
  <c r="J446" i="2"/>
  <c r="I446" i="2"/>
  <c r="K456" i="2"/>
  <c r="K455" i="2" s="1"/>
  <c r="K454" i="2" s="1"/>
  <c r="J456" i="2"/>
  <c r="J455" i="2" s="1"/>
  <c r="J454" i="2" s="1"/>
  <c r="I456" i="2"/>
  <c r="I455" i="2" s="1"/>
  <c r="I454" i="2" s="1"/>
  <c r="K460" i="2"/>
  <c r="K459" i="2" s="1"/>
  <c r="J460" i="2"/>
  <c r="J459" i="2" s="1"/>
  <c r="K469" i="2"/>
  <c r="J469" i="2"/>
  <c r="J468" i="2" s="1"/>
  <c r="K468" i="2"/>
  <c r="I469" i="2"/>
  <c r="I468" i="2" s="1"/>
  <c r="K472" i="2"/>
  <c r="K471" i="2" s="1"/>
  <c r="J472" i="2"/>
  <c r="J471" i="2" s="1"/>
  <c r="I472" i="2"/>
  <c r="I471" i="2" s="1"/>
  <c r="K479" i="2"/>
  <c r="J479" i="2"/>
  <c r="J478" i="2" s="1"/>
  <c r="K478" i="2"/>
  <c r="I479" i="2"/>
  <c r="I478" i="2" s="1"/>
  <c r="K482" i="2"/>
  <c r="J482" i="2"/>
  <c r="K484" i="2"/>
  <c r="J484" i="2"/>
  <c r="I484" i="2"/>
  <c r="K487" i="2"/>
  <c r="J487" i="2"/>
  <c r="I487" i="2"/>
  <c r="K489" i="2"/>
  <c r="J489" i="2"/>
  <c r="I489" i="2"/>
  <c r="K492" i="2"/>
  <c r="J492" i="2"/>
  <c r="K495" i="2"/>
  <c r="J495" i="2"/>
  <c r="I495" i="2"/>
  <c r="K497" i="2"/>
  <c r="J497" i="2"/>
  <c r="I497" i="2"/>
  <c r="K499" i="2"/>
  <c r="J499" i="2"/>
  <c r="I499" i="2"/>
  <c r="K501" i="2"/>
  <c r="J501" i="2"/>
  <c r="I501" i="2"/>
  <c r="I520" i="2"/>
  <c r="K522" i="2"/>
  <c r="J522" i="2"/>
  <c r="I522" i="2"/>
  <c r="K525" i="2"/>
  <c r="J525" i="2"/>
  <c r="I525" i="2"/>
  <c r="K527" i="2"/>
  <c r="J527" i="2"/>
  <c r="K530" i="2"/>
  <c r="J530" i="2"/>
  <c r="I530" i="2"/>
  <c r="K533" i="2"/>
  <c r="J533" i="2"/>
  <c r="K537" i="2"/>
  <c r="K536" i="2" s="1"/>
  <c r="J537" i="2"/>
  <c r="J536" i="2" s="1"/>
  <c r="K541" i="2"/>
  <c r="K540" i="2" s="1"/>
  <c r="J541" i="2"/>
  <c r="J540" i="2" s="1"/>
  <c r="I541" i="2"/>
  <c r="I540" i="2" s="1"/>
  <c r="K544" i="2"/>
  <c r="J544" i="2"/>
  <c r="K550" i="2"/>
  <c r="J550" i="2"/>
  <c r="I550" i="2"/>
  <c r="K554" i="2"/>
  <c r="J554" i="2"/>
  <c r="I554" i="2"/>
  <c r="K557" i="2"/>
  <c r="K556" i="2" s="1"/>
  <c r="J557" i="2"/>
  <c r="J556" i="2" s="1"/>
  <c r="I557" i="2"/>
  <c r="I556" i="2" s="1"/>
  <c r="K560" i="2"/>
  <c r="K559" i="2" s="1"/>
  <c r="J560" i="2"/>
  <c r="J559" i="2" s="1"/>
  <c r="I560" i="2"/>
  <c r="I559" i="2" s="1"/>
  <c r="K566" i="2"/>
  <c r="K565" i="2" s="1"/>
  <c r="K564" i="2" s="1"/>
  <c r="K563" i="2" s="1"/>
  <c r="J566" i="2"/>
  <c r="J565" i="2" s="1"/>
  <c r="J564" i="2" s="1"/>
  <c r="J563" i="2" s="1"/>
  <c r="I566" i="2"/>
  <c r="I565" i="2" s="1"/>
  <c r="I564" i="2" s="1"/>
  <c r="I563" i="2" s="1"/>
  <c r="K571" i="2"/>
  <c r="J571" i="2"/>
  <c r="I571" i="2"/>
  <c r="K574" i="2"/>
  <c r="J574" i="2"/>
  <c r="I574" i="2"/>
  <c r="K577" i="2"/>
  <c r="J577" i="2"/>
  <c r="K580" i="2"/>
  <c r="J580" i="2"/>
  <c r="I580" i="2"/>
  <c r="K582" i="2"/>
  <c r="J582" i="2"/>
  <c r="I582" i="2"/>
  <c r="K585" i="2"/>
  <c r="K584" i="2" s="1"/>
  <c r="J585" i="2"/>
  <c r="J584" i="2" s="1"/>
  <c r="I585" i="2"/>
  <c r="I584" i="2" s="1"/>
  <c r="K591" i="2"/>
  <c r="K590" i="2" s="1"/>
  <c r="J591" i="2"/>
  <c r="J590" i="2" s="1"/>
  <c r="I591" i="2"/>
  <c r="I590" i="2" s="1"/>
  <c r="K594" i="2"/>
  <c r="J594" i="2"/>
  <c r="I594" i="2"/>
  <c r="K596" i="2"/>
  <c r="J596" i="2"/>
  <c r="I596" i="2"/>
  <c r="K601" i="2"/>
  <c r="K600" i="2" s="1"/>
  <c r="J601" i="2"/>
  <c r="J600" i="2" s="1"/>
  <c r="K606" i="2"/>
  <c r="J606" i="2"/>
  <c r="J605" i="2" s="1"/>
  <c r="K605" i="2"/>
  <c r="K609" i="2"/>
  <c r="J609" i="2"/>
  <c r="K608" i="2"/>
  <c r="J608" i="2"/>
  <c r="I609" i="2"/>
  <c r="I608" i="2" s="1"/>
  <c r="K612" i="2"/>
  <c r="K611" i="2" s="1"/>
  <c r="J612" i="2"/>
  <c r="J611" i="2" s="1"/>
  <c r="I612" i="2"/>
  <c r="I611" i="2" s="1"/>
  <c r="K621" i="2"/>
  <c r="K624" i="2"/>
  <c r="J624" i="2"/>
  <c r="I624" i="2"/>
  <c r="K629" i="2"/>
  <c r="K628" i="2" s="1"/>
  <c r="K627" i="2" s="1"/>
  <c r="K626" i="2" s="1"/>
  <c r="J629" i="2"/>
  <c r="I629" i="2"/>
  <c r="I628" i="2" s="1"/>
  <c r="I627" i="2" s="1"/>
  <c r="I626" i="2" s="1"/>
  <c r="K642" i="2"/>
  <c r="J642" i="2"/>
  <c r="J641" i="2" s="1"/>
  <c r="I642" i="2"/>
  <c r="K647" i="2"/>
  <c r="K667" i="2"/>
  <c r="J667" i="2"/>
  <c r="I667" i="2"/>
  <c r="K669" i="2"/>
  <c r="J669" i="2"/>
  <c r="I669" i="2"/>
  <c r="I52" i="2"/>
  <c r="K521" i="2"/>
  <c r="K520" i="2" s="1"/>
  <c r="K519" i="2" s="1"/>
  <c r="J521" i="2"/>
  <c r="J520" i="2" s="1"/>
  <c r="I672" i="2"/>
  <c r="K672" i="2"/>
  <c r="J672" i="2"/>
  <c r="J108" i="2" l="1"/>
  <c r="J107" i="2" s="1"/>
  <c r="J628" i="2"/>
  <c r="K19" i="2"/>
  <c r="J463" i="2"/>
  <c r="J458" i="2" s="1"/>
  <c r="J19" i="2"/>
  <c r="K458" i="2"/>
  <c r="J519" i="2"/>
  <c r="I510" i="2"/>
  <c r="J205" i="2"/>
  <c r="J310" i="2"/>
  <c r="J29" i="2"/>
  <c r="J18" i="2" s="1"/>
  <c r="I365" i="2"/>
  <c r="K205" i="2"/>
  <c r="I213" i="2"/>
  <c r="I543" i="2"/>
  <c r="I509" i="2"/>
  <c r="J431" i="2"/>
  <c r="K399" i="2"/>
  <c r="I310" i="2"/>
  <c r="K310" i="2"/>
  <c r="J279" i="2"/>
  <c r="I175" i="2"/>
  <c r="I69" i="2"/>
  <c r="I61" i="2"/>
  <c r="I119" i="2"/>
  <c r="I118" i="2" s="1"/>
  <c r="I616" i="2"/>
  <c r="J627" i="2"/>
  <c r="J626" i="2" s="1"/>
  <c r="K18" i="2"/>
  <c r="I11" i="2"/>
  <c r="I76" i="2"/>
  <c r="I75" i="2" s="1"/>
  <c r="I641" i="2"/>
  <c r="I519" i="2"/>
  <c r="I29" i="2"/>
  <c r="I92" i="2"/>
  <c r="I19" i="2"/>
  <c r="I279" i="2"/>
  <c r="I436" i="2"/>
  <c r="K616" i="2"/>
  <c r="K615" i="2" s="1"/>
  <c r="K614" i="2" s="1"/>
  <c r="J486" i="2"/>
  <c r="J407" i="2"/>
  <c r="J326" i="2"/>
  <c r="K175" i="2"/>
  <c r="I570" i="2"/>
  <c r="I569" i="2" s="1"/>
  <c r="I568" i="2" s="1"/>
  <c r="K570" i="2"/>
  <c r="K569" i="2" s="1"/>
  <c r="K568" i="2" s="1"/>
  <c r="J570" i="2"/>
  <c r="J569" i="2" s="1"/>
  <c r="J568" i="2" s="1"/>
  <c r="K543" i="2"/>
  <c r="J543" i="2"/>
  <c r="K524" i="2"/>
  <c r="K518" i="2" s="1"/>
  <c r="K504" i="2" s="1"/>
  <c r="I486" i="2"/>
  <c r="K486" i="2"/>
  <c r="J481" i="2"/>
  <c r="K436" i="2"/>
  <c r="I431" i="2"/>
  <c r="K431" i="2"/>
  <c r="K424" i="2"/>
  <c r="J399" i="2"/>
  <c r="K357" i="2"/>
  <c r="K356" i="2" s="1"/>
  <c r="J340" i="2"/>
  <c r="I340" i="2"/>
  <c r="K340" i="2"/>
  <c r="K279" i="2"/>
  <c r="I156" i="2"/>
  <c r="K156" i="2"/>
  <c r="J156" i="2"/>
  <c r="J124" i="2"/>
  <c r="I108" i="2"/>
  <c r="I107" i="2" s="1"/>
  <c r="K108" i="2"/>
  <c r="K107" i="2" s="1"/>
  <c r="J92" i="2"/>
  <c r="K92" i="2"/>
  <c r="I83" i="2"/>
  <c r="K83" i="2"/>
  <c r="J69" i="2"/>
  <c r="K61" i="2"/>
  <c r="J61" i="2"/>
  <c r="J46" i="2"/>
  <c r="K46" i="2"/>
  <c r="I125" i="2"/>
  <c r="I124" i="2" s="1"/>
  <c r="I24" i="2"/>
  <c r="I18" i="2" s="1"/>
  <c r="I640" i="2"/>
  <c r="K599" i="2"/>
  <c r="K598" i="2" s="1"/>
  <c r="I593" i="2"/>
  <c r="I589" i="2" s="1"/>
  <c r="I588" i="2" s="1"/>
  <c r="K593" i="2"/>
  <c r="J593" i="2"/>
  <c r="J589" i="2" s="1"/>
  <c r="J588" i="2" s="1"/>
  <c r="J524" i="2"/>
  <c r="I491" i="2"/>
  <c r="K491" i="2"/>
  <c r="J491" i="2"/>
  <c r="K481" i="2"/>
  <c r="J436" i="2"/>
  <c r="J424" i="2"/>
  <c r="I407" i="2"/>
  <c r="K407" i="2"/>
  <c r="J388" i="2"/>
  <c r="I388" i="2"/>
  <c r="K388" i="2"/>
  <c r="J357" i="2"/>
  <c r="J356" i="2" s="1"/>
  <c r="I326" i="2"/>
  <c r="K326" i="2"/>
  <c r="I260" i="2"/>
  <c r="K260" i="2"/>
  <c r="J260" i="2"/>
  <c r="J213" i="2"/>
  <c r="J212" i="2" s="1"/>
  <c r="I212" i="2"/>
  <c r="K213" i="2"/>
  <c r="K212" i="2" s="1"/>
  <c r="I187" i="2"/>
  <c r="I186" i="2" s="1"/>
  <c r="I174" i="2"/>
  <c r="I169" i="2" s="1"/>
  <c r="K174" i="2"/>
  <c r="K169" i="2" s="1"/>
  <c r="J175" i="2"/>
  <c r="J174" i="2" s="1"/>
  <c r="J169" i="2" s="1"/>
  <c r="I144" i="2"/>
  <c r="K144" i="2"/>
  <c r="J144" i="2"/>
  <c r="J143" i="2" s="1"/>
  <c r="J117" i="2" s="1"/>
  <c r="J83" i="2"/>
  <c r="K69" i="2"/>
  <c r="K45" i="2" s="1"/>
  <c r="K10" i="2" s="1"/>
  <c r="K675" i="2" s="1"/>
  <c r="I615" i="2"/>
  <c r="I614" i="2" s="1"/>
  <c r="J640" i="2"/>
  <c r="I599" i="2"/>
  <c r="I598" i="2" s="1"/>
  <c r="J599" i="2"/>
  <c r="J598" i="2" s="1"/>
  <c r="J477" i="2"/>
  <c r="I364" i="2"/>
  <c r="J364" i="2"/>
  <c r="K187" i="2"/>
  <c r="K186" i="2" s="1"/>
  <c r="I46" i="2"/>
  <c r="K589" i="2"/>
  <c r="K588" i="2" s="1"/>
  <c r="J518" i="2"/>
  <c r="J504" i="2" s="1"/>
  <c r="J187" i="2"/>
  <c r="J186" i="2" s="1"/>
  <c r="K641" i="2"/>
  <c r="K640" i="2" s="1"/>
  <c r="I524" i="2"/>
  <c r="I414" i="2"/>
  <c r="K124" i="2"/>
  <c r="I482" i="2"/>
  <c r="I481" i="2" s="1"/>
  <c r="I357" i="2"/>
  <c r="I356" i="2" s="1"/>
  <c r="J616" i="2"/>
  <c r="J615" i="2" s="1"/>
  <c r="J614" i="2" s="1"/>
  <c r="K379" i="2"/>
  <c r="K364" i="2" s="1"/>
  <c r="J414" i="2"/>
  <c r="K414" i="2"/>
  <c r="I424" i="2"/>
  <c r="J453" i="2" l="1"/>
  <c r="K423" i="2"/>
  <c r="K422" i="2" s="1"/>
  <c r="K384" i="2"/>
  <c r="I518" i="2"/>
  <c r="I504" i="2" s="1"/>
  <c r="I143" i="2"/>
  <c r="I117" i="2" s="1"/>
  <c r="K259" i="2"/>
  <c r="K204" i="2" s="1"/>
  <c r="I477" i="2"/>
  <c r="I453" i="2" s="1"/>
  <c r="I384" i="2"/>
  <c r="I355" i="2" s="1"/>
  <c r="I259" i="2"/>
  <c r="I204" i="2" s="1"/>
  <c r="I423" i="2"/>
  <c r="I422" i="2" s="1"/>
  <c r="I45" i="2"/>
  <c r="I10" i="2" s="1"/>
  <c r="K143" i="2"/>
  <c r="K117" i="2" s="1"/>
  <c r="J45" i="2"/>
  <c r="J10" i="2" s="1"/>
  <c r="K477" i="2"/>
  <c r="K453" i="2" s="1"/>
  <c r="J259" i="2"/>
  <c r="J204" i="2" s="1"/>
  <c r="J423" i="2"/>
  <c r="J422" i="2" s="1"/>
  <c r="J384" i="2"/>
  <c r="J355" i="2" s="1"/>
  <c r="K355" i="2"/>
  <c r="K673" i="2"/>
  <c r="K671" i="2" l="1"/>
  <c r="K678" i="2" s="1"/>
  <c r="J675" i="2"/>
  <c r="J671" i="2"/>
  <c r="J678" i="2" s="1"/>
  <c r="I671" i="2"/>
  <c r="I678" i="2" s="1"/>
  <c r="J681" i="2"/>
  <c r="K681" i="2"/>
  <c r="I681" i="2"/>
  <c r="I675" i="2"/>
  <c r="I673" i="2"/>
  <c r="K676" i="2"/>
  <c r="J673" i="2"/>
  <c r="K682" i="2" l="1"/>
  <c r="J682" i="2"/>
  <c r="I682" i="2"/>
  <c r="I676" i="2"/>
  <c r="J676" i="2"/>
</calcChain>
</file>

<file path=xl/sharedStrings.xml><?xml version="1.0" encoding="utf-8"?>
<sst xmlns="http://schemas.openxmlformats.org/spreadsheetml/2006/main" count="3287" uniqueCount="695">
  <si>
    <t>Вед.</t>
  </si>
  <si>
    <t>Разд.</t>
  </si>
  <si>
    <t>Подр.</t>
  </si>
  <si>
    <t>Наименование</t>
  </si>
  <si>
    <t>Целевая статья</t>
  </si>
  <si>
    <t>Группа видов расходов</t>
  </si>
  <si>
    <t>Раздел</t>
  </si>
  <si>
    <t>Подраз-дел</t>
  </si>
  <si>
    <t>2023 год</t>
  </si>
  <si>
    <t>2024 год</t>
  </si>
  <si>
    <t>к Решению Совета народных депутатов</t>
  </si>
  <si>
    <t>тыс. рублей</t>
  </si>
  <si>
    <t>ИТОГО ПО ПРОГРАММАМ</t>
  </si>
  <si>
    <t>% в расходах бюджета</t>
  </si>
  <si>
    <t>Распределение бюджетных ассигнований бюджета округа Муром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2023 год и плановый период 2024 и 2025 годов</t>
  </si>
  <si>
    <t>2025 год</t>
  </si>
  <si>
    <t xml:space="preserve">  Муниципальная программа "Жилищно-коммунальное хозяйство и благоустройство округа Муром на 2023-2025 годы"</t>
  </si>
  <si>
    <t xml:space="preserve">    Региональные проекты, обеспечивающие достижение результатов федеральных проектов, входящих в состав национальных проектов</t>
  </si>
  <si>
    <t xml:space="preserve">      Региональный проект "Чистая вода"</t>
  </si>
  <si>
    <t xml:space="preserve">        Строительство и реконструкция (модернизация) объектов питьевого водоснабжения</t>
  </si>
  <si>
    <t xml:space="preserve">          Капитальные вложения в объекты государственной (муниципальной) собственности</t>
  </si>
  <si>
    <t xml:space="preserve">    Региональные проекты, не входящие в состав национальных проектов</t>
  </si>
  <si>
    <t xml:space="preserve">      Региональный проект "Обеспечение поддержки многодетных семей"</t>
  </si>
  <si>
    <t xml:space="preserve">      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</si>
  <si>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 xml:space="preserve">    Комплексы процессных мероприятий</t>
  </si>
  <si>
    <t xml:space="preserve">      Комплекс процессных мероприятий "Создание условий для реализации муниципальной программы"</t>
  </si>
  <si>
    <t xml:space="preserve">        Расходы на обеспечение деятельности органов местного самоуправления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</si>
  <si>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</si>
  <si>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 xml:space="preserve">            ОБЩЕГОСУДАРСТВЕННЫЕ ВОПРОСЫ</t>
  </si>
  <si>
    <t xml:space="preserve">              Другие общегосударственные вопросы</t>
  </si>
  <si>
    <t xml:space="preserve">          Закупка товаров, работ и услуг для обеспечения государственных (муниципальных) нужд</t>
  </si>
  <si>
    <t xml:space="preserve">        Расходы на обеспечение деятельности централизованных бухгалтерий</t>
  </si>
  <si>
    <t xml:space="preserve">        Расходы на обеспечение деятельности муниципального казенного учреждения «Муромстройзаказчик»</t>
  </si>
  <si>
    <t xml:space="preserve">          Иные бюджетные ассигнования</t>
  </si>
  <si>
    <t xml:space="preserve">      Комплекс процессных мероприятий "Обеспечение мероприятий по благоустройству и озеленению территории округа"</t>
  </si>
  <si>
    <t xml:space="preserve">        Расходы на обеспечение деятельности (оказание услуг) учреждений по благоустройству территории</t>
  </si>
  <si>
    <t xml:space="preserve">          Предоставление субсидий бюджетным, автономным учреждениям и иным некоммерческим организациям
</t>
  </si>
  <si>
    <t xml:space="preserve">        Благоустройство и текущее содержание кладбищ и мемориалов</t>
  </si>
  <si>
    <t xml:space="preserve">      Комплекс процессных мероприятий "Техническое обслуживание и энергоснабжение сетей уличного освещения округа"</t>
  </si>
  <si>
    <t xml:space="preserve">        Организация освещения улиц</t>
  </si>
  <si>
    <t xml:space="preserve">        Содержание и эксплуатация уличного освещения</t>
  </si>
  <si>
    <t xml:space="preserve">      Комплекс процессных мероприятий "Разработка комплексных схем инженерного обеспечения округа Муром"</t>
  </si>
  <si>
    <t xml:space="preserve">        Актуализация схем теплоснабжения, водоснабжения и водоотведения</t>
  </si>
  <si>
    <t xml:space="preserve">      Комплекс процессных мероприятий "Обеспечение доступности общественного транспорта для различных категорий граждан на территории округа"</t>
  </si>
  <si>
    <t xml:space="preserve">        Обеспечение равной доступности услуг общественного транспорта на территории округа Муром для отдельных категорий граждан</t>
  </si>
  <si>
    <t xml:space="preserve">          Социальное обеспечение и иные выплаты населению</t>
  </si>
  <si>
    <t xml:space="preserve">        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</si>
  <si>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      Комплекс процессных мероприятий "Совершенствование организации движения транспорта и пешеходов на территории округа"</t>
  </si>
  <si>
    <t xml:space="preserve">        Расходы на обеспечение деятельности (оказание услуг) учреждений в сфере дорожного хозяйства</t>
  </si>
  <si>
    <t xml:space="preserve">        Приобретение спецоборудования для оказания помощи при дорожно-транспортных происшествиях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</si>
  <si>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</si>
  <si>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 xml:space="preserve">  Муниципальная программа "Реализация государственной национальной политики Российской Федерации в округе Муром на 2023-2025 годы"</t>
  </si>
  <si>
    <t xml:space="preserve">      Комплекс процессных мероприятий "Мероприятия, направленные на укрепление гражданского единства и гармонизацию межнациональных отношений"</t>
  </si>
  <si>
    <t xml:space="preserve">        Организация и проведение конкурсов и выставок, направленных на формирование общероссийского гражданского самосознания</t>
  </si>
  <si>
    <t xml:space="preserve">      Комплекс процессных мероприятий "Содействие этнокультурному многообразию народов России, проживающих на территории округа Муром"</t>
  </si>
  <si>
    <t xml:space="preserve">        Проведение традиционных праздников, фестивалей, конкурсов</t>
  </si>
  <si>
    <t xml:space="preserve">  Муниципальная программа "Развитие физической культуры и спорта в округе Муром на 2023-2025 годы"</t>
  </si>
  <si>
    <t xml:space="preserve">      Региональный проект "Спорт-норма жизни "</t>
  </si>
  <si>
    <t xml:space="preserve">        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</si>
  <si>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 xml:space="preserve">            ФИЗИЧЕСКАЯ КУЛЬТУРА И СПОРТ</t>
  </si>
  <si>
    <t xml:space="preserve">      Региональный проект "Обеспечение подготовки спортивного резерва для спортивных сборных команд Владимирской области"</t>
  </si>
  <si>
    <t xml:space="preserve">        Развитие базовых и олимпийских видов спорта в муниципальном бюджетном учреждении "Спортивная школа олимпийского резерва имени А.А. Прокуророва"</t>
  </si>
  <si>
    <t xml:space="preserve">              Физическая культура</t>
  </si>
  <si>
    <t xml:space="preserve">      Региональный проект "Бизнес - спринт (Я выбираю спорт)"</t>
  </si>
  <si>
    <t xml:space="preserve">        Софинансирование закупки оборудования и монтажа для создания "умных" спортивных площадок</t>
  </si>
  <si>
    <t xml:space="preserve">        Ежемесячные денежные выплаты заслуженным работникам физической культуры и спорта</t>
  </si>
  <si>
    <t xml:space="preserve">      Комплекс процессных мероприятий "Обеспечение подготовки спортивного резерва для спортивных сборных команд"</t>
  </si>
  <si>
    <t xml:space="preserve">        Расходы на обеспечение деятельности (оказание услуг) физкультурно-спортивных учреждений</t>
  </si>
  <si>
    <t xml:space="preserve">      Комплекс процессных мероприятий "Обеспечение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округа"</t>
  </si>
  <si>
    <t xml:space="preserve">        Организация и проведение мероприятий по антинаркотической пропаганде</t>
  </si>
  <si>
    <t xml:space="preserve">        Организация профилактических мероприятий по безнадзорности и правонарушениям среди детей и подростков</t>
  </si>
  <si>
    <t xml:space="preserve">        Реализация календарного плана физкультурно-оздоровительных и спортивных мероприятий округа Муром</t>
  </si>
  <si>
    <t xml:space="preserve">      Комплекс процессных мероприятий "Создание условий для развития отдельных видов спорта в округе Муром"</t>
  </si>
  <si>
    <t xml:space="preserve">        Оказание поддержки некоммерческим организациям, осуществляющим деятельность в сфере физической культуры и спорта на территории округа Муром</t>
  </si>
  <si>
    <t xml:space="preserve">  Муниципальная программа "Молодежь Мурома" на 2023-2025 годы</t>
  </si>
  <si>
    <t xml:space="preserve">      Комплекс процессных мероприятий "Создание условий для успешной социализации и эффективной самореализации молодежи"</t>
  </si>
  <si>
    <t xml:space="preserve">        Организация и осуществление мероприятий по работе с детьми и молодежью</t>
  </si>
  <si>
    <t xml:space="preserve">        Персональные стипендии администрации округа им. 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</si>
  <si>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 xml:space="preserve">  Муниципальная программы управления муниципальными финансами и муниципальным долгом округа Муром на 2023-2025 годы</t>
  </si>
  <si>
    <t xml:space="preserve">      Комплекс процессных мероприятий "Организационно-методическое обеспечение бюджетного процесса в округе Муром, формирование и исполнение бюджета округа"</t>
  </si>
  <si>
    <t xml:space="preserve">      Комплекс процессных мероприятий "Управление резервным фондом Администрации округа Муром для предупреждения и ликвидации чрезвычайных ситуаций"</t>
  </si>
  <si>
    <t xml:space="preserve">        Резервный фонд Администрации округа Муром для предупреждения и ликвидации чрезвычайных ситуаций</t>
  </si>
  <si>
    <t xml:space="preserve">      Комплекс процессных мероприятий "Обеспечение своевременности и полноты исполнения долговых обязательств округа Муром"</t>
  </si>
  <si>
    <t xml:space="preserve">        Процентные платежи по муниципальному долгу</t>
  </si>
  <si>
    <t xml:space="preserve">          Обслуживание государственного (муниципального) долга</t>
  </si>
  <si>
    <t xml:space="preserve">      Комплекс процессных мероприятий "Развитие программно-целевых методов планирования и повышение эффективности бюджетных расходов"</t>
  </si>
  <si>
    <t xml:space="preserve">        Распределение части бюджета принимаемых обязательств между ГРБС в зависимости от оценки качества финансового менеджмента</t>
  </si>
  <si>
    <t xml:space="preserve">  Муниципальная программа "Развитие образования в округе Муром" на 2023-2025 годы</t>
  </si>
  <si>
    <t xml:space="preserve">      Региональный проект "Содействие развитию системы дошкольного, общего и дополнительного образования"</t>
  </si>
  <si>
    <t xml:space="preserve">        Поддержка приоритетных направлений развития отрасли образования (организация культурно-экскурсионного обслуживания в каникулярный период организованных групп детей)</t>
  </si>
  <si>
    <t xml:space="preserve">        Поддержка приоритетных направлений развития отрасли образования (полная или частичная оплата стоимости путевок в оздоровительные организации)</t>
  </si>
  <si>
    <t xml:space="preserve">        Поддержка приоритетных направлений развития отрасли образования (организация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программам)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</si>
  <si>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</si>
  <si>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организаций дополнительного образования детей до уровня не менее 100 % от уровня средней заработной платы учителей в регионе)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</si>
  <si>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</si>
  <si>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       Организация культурно-экскурсионного обслуживания в каникулярный период организованных групп детей</t>
  </si>
  <si>
    <t xml:space="preserve">        Полная или частичная оплата стоимости путевок в оздоровительные организации</t>
  </si>
  <si>
    <t xml:space="preserve">        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</t>
  </si>
  <si>
    <t xml:space="preserve">        Подготовка муниципальных образовательных организаций к началу учебного года и оздоровительных лагерей к летнему периоду</t>
  </si>
  <si>
    <t xml:space="preserve">      Комплекс процессных мероприятий "Организация предоставления общедоступного и бесплатного дошкольного образования по основным общеобразовательным программам"</t>
  </si>
  <si>
    <t xml:space="preserve">        Модернизация дошкольного образования</t>
  </si>
  <si>
    <t xml:space="preserve">        Гранты в форме субсидий образовательным учреждениям</t>
  </si>
  <si>
    <t xml:space="preserve">        Денежное поощрение лучших педагогов дошкольных образовательных учреждений</t>
  </si>
  <si>
    <t xml:space="preserve">        Социальная поддержка детей-инвалидов дошкольного возраста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</si>
  <si>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</si>
  <si>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</si>
  <si>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</si>
  <si>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       Расходы на обеспечение деятельности (оказание услуг) детских дошкольных учреждений</t>
  </si>
  <si>
    <t xml:space="preserve">      Комплекс процессных мероприятий "Организация предоставления общедоступного и бесплатного общего образования по основным общеобразовательным программам"</t>
  </si>
  <si>
    <t xml:space="preserve">        Оснащение кабинетов по наркопрофилактике в образовательных учреждениях округа компьютерной техникой, интерактивным оборудованием, мебелью</t>
  </si>
  <si>
    <t xml:space="preserve">        Модернизация общеобразовательных учреждений</t>
  </si>
  <si>
    <t xml:space="preserve">        Денежное поощрение лучших учителей общеобразовательных учреждений</t>
  </si>
  <si>
    <t xml:space="preserve">        Денежное поощрение учащихся общеобразовательных школ</t>
  </si>
  <si>
    <t xml:space="preserve">        Денежное поощрение молодых специалистов остродефицитных специальностей общеобразовательных учреждений</t>
  </si>
  <si>
    <t xml:space="preserve">        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</si>
  <si>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       Расходы на обеспечение деятельности (оказание услуг) общеобразовательных учреждений</t>
  </si>
  <si>
    <t xml:space="preserve">      Комплекс процессных мероприятий "Организация предоставления дополнительного образования детей"</t>
  </si>
  <si>
    <t xml:space="preserve">        Мероприятия по обеспечению персонифицированного финансирования дополнительного образования детей</t>
  </si>
  <si>
    <t xml:space="preserve">        Денежное поощрение лучших педагогов дополнительного образования</t>
  </si>
  <si>
    <t xml:space="preserve">        Расходы на обеспечение деятельности (оказание услуг) учреждений по внешкольной работе с детьми</t>
  </si>
  <si>
    <t xml:space="preserve">      Комплекс процессных мероприятий "Социальная поддержка детей-сирот и детей, оставшихся без попечения родителей"</t>
  </si>
  <si>
    <t xml:space="preserve">      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</si>
  <si>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 xml:space="preserve">      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</si>
  <si>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 xml:space="preserve">        Содержание ребенка в семье опекуна и приемной семье, а также вознаграждение, причитающееся приемному родителю (вознаграждение, причитающееся приемному родителю)</t>
  </si>
  <si>
    <t xml:space="preserve">      Комплекс процессных мероприятий "Участие в осуществлении деятельности по опеке и попечительству"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</si>
  <si>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</si>
  <si>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 xml:space="preserve">        Расходы на обеспечение деятельности муниципального казенного учреждения «Центр работы с педагогическими кадрами»</t>
  </si>
  <si>
    <t xml:space="preserve">  Муниципальная программа "Обеспечение комфортным жильем населения округа Муром в 2023-2025 годах"</t>
  </si>
  <si>
    <t xml:space="preserve">      Региональный проект "Обеспечение устойчивого сокращения непригодного для проживания жилищного фонда"</t>
  </si>
  <si>
    <t xml:space="preserve">        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</si>
  <si>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 xml:space="preserve">              Жилищное хозяйство</t>
  </si>
  <si>
    <t xml:space="preserve">        Обеспечение устойчивого сокращения непригодного для проживания жилищного фонда</t>
  </si>
  <si>
    <t xml:space="preserve">      Региональный проект "Оказание мер социальной поддержки по улучшению жилищных условий молодых семей"</t>
  </si>
  <si>
    <t xml:space="preserve">        Реализация мероприятий по обеспечению жильем молодых семей</t>
  </si>
  <si>
    <t xml:space="preserve">      Региональный проект "Обеспечение жильем ветеранов, инвалидов и семей, имеющих детей-инвалидов"</t>
  </si>
  <si>
    <t xml:space="preserve">       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</si>
  <si>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 xml:space="preserve">      Комплекс процессных мероприятий "Обеспечение мероприятий по сносу расселенных многоквартирных домов, признанных аварийными и подлежащими сносу, и разбору (демонтажу) жилых домов, признанных непригодными для проживания"</t>
  </si>
  <si>
    <t xml:space="preserve">        Снос домов, признанных аварийными и подлежащими сносу, и разбор (демонтаж) жилых домов, признанных непригодными для проживания</t>
  </si>
  <si>
    <t xml:space="preserve">        Расходы на оценку объектов недвижимости, кадастровые и проектные работы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</si>
  <si>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</si>
  <si>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        Расходы на обеспечение деятельности муниципального казенного учреждения «Муниципальный жилищный фонд»</t>
  </si>
  <si>
    <t xml:space="preserve">      Комплекс процессных мероприятий "Содержание и ремонт жилых помещений муниципального жилищного фонда округа Муром"</t>
  </si>
  <si>
    <t xml:space="preserve">        Расходы на коммунальные услуги и содержание незаселенных жилых помещений муниципального жилищного фонда округа Муром</t>
  </si>
  <si>
    <t xml:space="preserve">        Расходы на проведение капитального ремонта жилых помещений муниципального жилищного фонда округа Муром</t>
  </si>
  <si>
    <t xml:space="preserve">      Комплекс процессных мероприятий "Установка приборов учета коммунальных ресурсов и замена бытового газоиспользующего оборудования"</t>
  </si>
  <si>
    <t xml:space="preserve">        Расходы по выплате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коммунальных ресурсов</t>
  </si>
  <si>
    <t xml:space="preserve">        Расходы по выплате компенсации нанимателям жилых помещений муниципального жилищного фонда округа Муром на возмещение расходов на замену бытового газоиспользующего оборудования</t>
  </si>
  <si>
    <t xml:space="preserve">        Установка коллективных (общедомовых) приборов учета коммунальных ресурсов в многоквартирных домах</t>
  </si>
  <si>
    <t xml:space="preserve">      Комплекс процессных мероприятий "Обеспечение дополнительных гарантий прав на имущество и жилое помещение детей-сирот и детей, оставшихся без попечения родителей"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</si>
  <si>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</si>
  <si>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Комплекс процессных мероприятий "Исполнение обязательств округа по финансовому обеспечению капитального ремонта многоквартирных домов"</t>
  </si>
  <si>
    <t xml:space="preserve">        Взносы в региональный фонд капитального ремонта</t>
  </si>
  <si>
    <t xml:space="preserve">  Муниципальная программа "Совершенствование управления муниципальной собственностью муниципального образования округ Муром на 2023-2025 годы"</t>
  </si>
  <si>
    <t xml:space="preserve">      Комплекс процессных мероприятий "Оценка недвижимости, признание прав и регулирование отношений по государственной и муниципальной собственности"</t>
  </si>
  <si>
    <t xml:space="preserve">        Проведение работ по инвентаризации объектов недвижимости казны округа Муром</t>
  </si>
  <si>
    <t xml:space="preserve">        Выполнение кадастровых работ</t>
  </si>
  <si>
    <t xml:space="preserve">        Оценка рыночной стоимости арендной платы и муниципального имущества</t>
  </si>
  <si>
    <t xml:space="preserve">      Комплекс процессных мероприятий "Содержание объектов муниципальной собственности"</t>
  </si>
  <si>
    <t xml:space="preserve">        Уплата налогов и сборов за объекты муниципальной собственности</t>
  </si>
  <si>
    <t xml:space="preserve">        Содержание и текущий ремонт общего имущества многоквартирных домов, в которых находятся нежилые помещения, отнесенные к казне округа Муром, а также расходы на коммунальные услуги неиспользуемых нежилых помещений (зданий), отнесенных к казне округа Муром</t>
  </si>
  <si>
    <t xml:space="preserve">        Расходы на обеспечение деятельности муниципального казенного учреждения «Управление административными зданиями и транспортом»</t>
  </si>
  <si>
    <t xml:space="preserve">  Муниципальная программа сохранения и развития культуры округа Муром на 2023-2025 годы</t>
  </si>
  <si>
    <t xml:space="preserve">      Региональный проект "Культурная среда"</t>
  </si>
  <si>
    <t xml:space="preserve">        Развитие сети учреждений культурно-досугового типа</t>
  </si>
  <si>
    <t xml:space="preserve">      Региональный проект "Обеспечение условий реализации Программы"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</si>
  <si>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</si>
  <si>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 xml:space="preserve">      Региональный проект "Развитие муниципальных общедоступных библиотек области"</t>
  </si>
  <si>
    <t xml:space="preserve">        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</si>
  <si>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      Региональный проект "Искусство"</t>
  </si>
  <si>
    <t xml:space="preserve">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</si>
  <si>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 xml:space="preserve">      Комплекс процессных мероприятий "Организация предоставления дополнительного образования детей в муниципальных образовательных учреждениях, подведомственных управлению культуры"</t>
  </si>
  <si>
    <t xml:space="preserve">      Комплекс процессных мероприятий "Организация библиотечного обслуживания населения, комплектование обеспечения сохранности библиотечных фондов библиотек округа"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</si>
  <si>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</si>
  <si>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 xml:space="preserve">        Расходы на обеспечение деятельности (оказание услуг) библиотек</t>
  </si>
  <si>
    <t xml:space="preserve">      Комплекс процессных мероприятий "Создание условий для организации досуга и обеспечения жителей округа услугами организаций культуры"</t>
  </si>
  <si>
    <t xml:space="preserve">        Расходы на обеспечение деятельности (оказание услуг) учреждений в сфере культуры</t>
  </si>
  <si>
    <t xml:space="preserve">        Денежная премия за присвоение звания "Человек года"</t>
  </si>
  <si>
    <t xml:space="preserve">        Денежные выплаты Главы округа Муром для одаренной и талантливой молодежи в области театрального искусства</t>
  </si>
  <si>
    <t xml:space="preserve">  Муниципальная программа округа Муром "Муниципальное управление" на 2023-2025 годы</t>
  </si>
  <si>
    <t xml:space="preserve">      Комплекс процессных мероприятий "Решение вопросов местного значения"</t>
  </si>
  <si>
    <t xml:space="preserve">        Расходы на выплаты по оплате труда Главы муниципального образования</t>
  </si>
  <si>
    <t xml:space="preserve">      Комплекс процессных мероприятий "Реализация отдельных переданных государственных полномочий в соответствии с обязательными для исполнения нормативными правовыми актами"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</si>
  <si>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</si>
  <si>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Осуществление полномочий Российской Федерации на государственную регистрацию актов гражданского состояния</t>
  </si>
  <si>
    <t xml:space="preserve">        Обеспечение деятельности комиссий по делам несовершеннолетних и защите их прав</t>
  </si>
  <si>
    <t xml:space="preserve">        Осуществление отдельных государственных полномочий по вопросам административного законодательства</t>
  </si>
  <si>
    <t xml:space="preserve">      Комплекс процессных мероприятий "Материально-техническое обеспечение реализации муниципальной программы"</t>
  </si>
  <si>
    <t xml:space="preserve">      Комплекс процессных мероприятий "Информационное обеспечение, техническое оснащение и обслуживание рабочих мест сотрудников"</t>
  </si>
  <si>
    <t xml:space="preserve">        Автоматизация и информатизация рабочих мест работников органов местного самоуправления и подведомственных учреждений</t>
  </si>
  <si>
    <t xml:space="preserve">        Расходы на обеспечение деятельности учреждений, подведомственных администрации округа</t>
  </si>
  <si>
    <t xml:space="preserve">        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</si>
  <si>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 xml:space="preserve">        Расходы на обеспечение деятельности (оказание услуг) муниципального бюджетного учреждения "Отдел туризма"</t>
  </si>
  <si>
    <t xml:space="preserve">      Комплекс процессных мероприятий "Создание условий для деятельности народных дружин"</t>
  </si>
  <si>
    <t xml:space="preserve">        Поощрение членов добровольной народной дружины</t>
  </si>
  <si>
    <t xml:space="preserve">      Комплекс процессных мероприятий "Освещение деятельности органов местного самоуправления в средствах массовой информации"</t>
  </si>
  <si>
    <t xml:space="preserve">        Расходы на обеспечение деятельности (оказание услуг) муниципального автономного учреждения «Муромский меридиан»</t>
  </si>
  <si>
    <t xml:space="preserve">  Муниципальная программа содействия развитию малого и среднего предпринимательства в округе Муром на 2023-2025 годы</t>
  </si>
  <si>
    <t xml:space="preserve">      Комплекс процессных мероприятий "Развитие инфраструктуры поддержки малого и среднего предпринимательства"</t>
  </si>
  <si>
    <t xml:space="preserve">        Расходы на обеспечение деятельности (оказание услуг) муниципального бюджетного учреждения "Муромский бизнес-инкубатор"</t>
  </si>
  <si>
    <t xml:space="preserve">  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2023-2025 годы"</t>
  </si>
  <si>
    <t xml:space="preserve">      Комплекс процессных мероприятий "Оказание мер социальной поддержки и социальной помощи отдельным категориям граждан"</t>
  </si>
  <si>
    <t xml:space="preserve">        Помощь гражданам, оказавшимся в трудной жизненной ситуации</t>
  </si>
  <si>
    <t xml:space="preserve">        Адресная социальная помощь больным туберкулезом</t>
  </si>
  <si>
    <t xml:space="preserve">        Материальная помощь родителям детей, больных сахарным диабетом</t>
  </si>
  <si>
    <t xml:space="preserve">        Организация бесплатного посещения бани малоимущими гражданами</t>
  </si>
  <si>
    <t xml:space="preserve">        Проведение химической дезинфекции в очагах туберкулеза</t>
  </si>
  <si>
    <t xml:space="preserve">  Муниципальная программа "Развитие муниципальной службы в округе Муром на 2023-2025 годы"</t>
  </si>
  <si>
    <t xml:space="preserve">      Комплекс процессных мероприятий "Профессиональное развитие кадрового потенциала муниципальных служащих"</t>
  </si>
  <si>
    <t xml:space="preserve">        Повышение квалификации муниципальных служащих администрации округа Муром</t>
  </si>
  <si>
    <t xml:space="preserve">      Комплекс процессных мероприятий "Кадровые технологии на муниципальной службе"</t>
  </si>
  <si>
    <t xml:space="preserve">        Организация и проведение первого этапа конкурса "Лучший муниципальный служащий Владимирской области"</t>
  </si>
  <si>
    <t xml:space="preserve">        Пенсия за выслугу лет муниципальным служащим (при достижении установленных условий)</t>
  </si>
  <si>
    <t xml:space="preserve">  Муниципальная программа "Защита населения и территории округа Муром от чрезвычайных ситуаций, обеспечение пожарной безопасности и безопасности людей на водных объектах на 2023-2025 годы"</t>
  </si>
  <si>
    <t xml:space="preserve">      Копмлекс процессных мероприятий "Развитие и совершенствование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</t>
  </si>
  <si>
    <t xml:space="preserve">        Расходы на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</si>
  <si>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 xml:space="preserve">      Комплекс процессных мероприятий "Развитие и совершенствование технической оснащенности сил и средств для ликвидации чрезвычайных ситуаций"</t>
  </si>
  <si>
    <t xml:space="preserve">        Обеспечение защиты населения от чрезвычайных ситуаций и снижение рисков их возникновения</t>
  </si>
  <si>
    <t xml:space="preserve">      Комплекс процессных мероприятий "Развитие и совершенствование системы подготовки к действиям в чрезвычайных ситуациях"</t>
  </si>
  <si>
    <t xml:space="preserve">        Развитие и совершенствование методической и материально-технической базы курсов ГО для подготовки руководящего состава и специалистов нештатных аварийно-спасательных формирований, спасателей и населения к действиям в чрезвычайных ситуациях</t>
  </si>
  <si>
    <t xml:space="preserve">      Комплекс процессных мероприятий "Развитие и совершенствование элементов АПК "Безопасный город"</t>
  </si>
  <si>
    <t xml:space="preserve">  Муниципальная программа "Благоустройство территории округа Муром"</t>
  </si>
  <si>
    <t xml:space="preserve">      Региональный проект "Формирование комфортной городской среды"</t>
  </si>
  <si>
    <t xml:space="preserve">        Реализация программ формирования современной городской среды</t>
  </si>
  <si>
    <t xml:space="preserve">  Муниципальная программа "Профилактика терроризма, экстремизма и ликвидация последствий проявлений терроризма и экстремизма на территории округа Муром на 2023-2025 годы"</t>
  </si>
  <si>
    <t xml:space="preserve">      Комплекс процессных мероприятий "Профилактика и предупреждение террористических и экстремистских проявлений, развитие и совершенствование технической оснащенности подведомственных объектов"</t>
  </si>
  <si>
    <t xml:space="preserve">        Мероприятия по выполнению требований постановлений Правительства Российской Федерации в области антитеррористической защищенности подведомственных объектов</t>
  </si>
  <si>
    <t xml:space="preserve">  Непрограммная деятельность органов местного самоуправления</t>
  </si>
  <si>
    <t xml:space="preserve">    Непрограммные мероприятия</t>
  </si>
  <si>
    <t xml:space="preserve">        Резервирование финансовых средств на выполнение условий софинансирования участия в федеральных и областных программах и национальных проектов и иных мероприятий, а также решений, принимаемых на муниципальном уровне</t>
  </si>
  <si>
    <t xml:space="preserve">        Расходы на выплаты по оплате труда депутатам Совета народных депутатов</t>
  </si>
  <si>
    <t xml:space="preserve">        Расходы на выплаты по оплате труда председателю Совета народных депутатов</t>
  </si>
  <si>
    <t>0100000000</t>
  </si>
  <si>
    <t>0110000000</t>
  </si>
  <si>
    <t>011F500000</t>
  </si>
  <si>
    <t>011F552430</t>
  </si>
  <si>
    <t>0120000000</t>
  </si>
  <si>
    <t>0120200000</t>
  </si>
  <si>
    <t>01202S0050</t>
  </si>
  <si>
    <t>0140000000</t>
  </si>
  <si>
    <t>0140100000</t>
  </si>
  <si>
    <t>0140100100</t>
  </si>
  <si>
    <t>01401AD590</t>
  </si>
  <si>
    <t>01401DS590</t>
  </si>
  <si>
    <t>0140200000</t>
  </si>
  <si>
    <t>014020G590</t>
  </si>
  <si>
    <t>0140210430</t>
  </si>
  <si>
    <t>0140300000</t>
  </si>
  <si>
    <t>0140310450</t>
  </si>
  <si>
    <t>0140360070</t>
  </si>
  <si>
    <t>0140500000</t>
  </si>
  <si>
    <t>0140510350</t>
  </si>
  <si>
    <t>0140800000</t>
  </si>
  <si>
    <t>0140820040</t>
  </si>
  <si>
    <t>0140820050</t>
  </si>
  <si>
    <t>0140900000</t>
  </si>
  <si>
    <t>014090D590</t>
  </si>
  <si>
    <t>0140910400</t>
  </si>
  <si>
    <t>0140972460</t>
  </si>
  <si>
    <t>01409S2460</t>
  </si>
  <si>
    <t>0200000000</t>
  </si>
  <si>
    <t>0240000000</t>
  </si>
  <si>
    <t>0240100000</t>
  </si>
  <si>
    <t>0240110500</t>
  </si>
  <si>
    <t>0240200000</t>
  </si>
  <si>
    <t>0240210520</t>
  </si>
  <si>
    <t>0300000000</t>
  </si>
  <si>
    <t>0310000000</t>
  </si>
  <si>
    <t>031P500000</t>
  </si>
  <si>
    <t>031P550810</t>
  </si>
  <si>
    <t>0320000000</t>
  </si>
  <si>
    <t>0320100000</t>
  </si>
  <si>
    <t>0320171920</t>
  </si>
  <si>
    <t>0320200000</t>
  </si>
  <si>
    <t>03202L7530</t>
  </si>
  <si>
    <t>0340000000</t>
  </si>
  <si>
    <t>0340100000</t>
  </si>
  <si>
    <t>0340100100</t>
  </si>
  <si>
    <t>0340120010</t>
  </si>
  <si>
    <t>03401AD590</t>
  </si>
  <si>
    <t>0340200000</t>
  </si>
  <si>
    <t>03402UF590</t>
  </si>
  <si>
    <t>0340300000</t>
  </si>
  <si>
    <t>0340310120</t>
  </si>
  <si>
    <t>0340310260</t>
  </si>
  <si>
    <t>0340310270</t>
  </si>
  <si>
    <t>0340500000</t>
  </si>
  <si>
    <t>0340560060</t>
  </si>
  <si>
    <t>0400000000</t>
  </si>
  <si>
    <t>0440000000</t>
  </si>
  <si>
    <t>0440100000</t>
  </si>
  <si>
    <t>0440110120</t>
  </si>
  <si>
    <t>0440110240</t>
  </si>
  <si>
    <t>0440120150</t>
  </si>
  <si>
    <t>0440200000</t>
  </si>
  <si>
    <t>0440200100</t>
  </si>
  <si>
    <t>0500000000</t>
  </si>
  <si>
    <t>0540000000</t>
  </si>
  <si>
    <t>0540100000</t>
  </si>
  <si>
    <t>0540100100</t>
  </si>
  <si>
    <t>0540200000</t>
  </si>
  <si>
    <t>0540210010</t>
  </si>
  <si>
    <t>0540300000</t>
  </si>
  <si>
    <t>0540310060</t>
  </si>
  <si>
    <t>0540400000</t>
  </si>
  <si>
    <t>0540410160</t>
  </si>
  <si>
    <t>0600000000</t>
  </si>
  <si>
    <t>0620000000</t>
  </si>
  <si>
    <t>0620200000</t>
  </si>
  <si>
    <t>0620253031</t>
  </si>
  <si>
    <t>062027147E</t>
  </si>
  <si>
    <t>062027147L</t>
  </si>
  <si>
    <t>062027147N</t>
  </si>
  <si>
    <t>062027147U</t>
  </si>
  <si>
    <t>062027147W</t>
  </si>
  <si>
    <t>06202L3041</t>
  </si>
  <si>
    <t>06202S147E</t>
  </si>
  <si>
    <t>06202S147L</t>
  </si>
  <si>
    <t>06202S147N</t>
  </si>
  <si>
    <t>06202S147U</t>
  </si>
  <si>
    <t>0640000000</t>
  </si>
  <si>
    <t>0640100000</t>
  </si>
  <si>
    <t>0640110210</t>
  </si>
  <si>
    <t>0640110600</t>
  </si>
  <si>
    <t>0640120100</t>
  </si>
  <si>
    <t>0640170540</t>
  </si>
  <si>
    <t>0640170560</t>
  </si>
  <si>
    <t>0640170590</t>
  </si>
  <si>
    <t>0640171830</t>
  </si>
  <si>
    <t>06401UD590</t>
  </si>
  <si>
    <t>0640200000</t>
  </si>
  <si>
    <t>0640210200</t>
  </si>
  <si>
    <t>0640210230</t>
  </si>
  <si>
    <t>0640210600</t>
  </si>
  <si>
    <t>0640220110</t>
  </si>
  <si>
    <t>0640220120</t>
  </si>
  <si>
    <t>0640220180</t>
  </si>
  <si>
    <t>0640270480</t>
  </si>
  <si>
    <t>0640270590</t>
  </si>
  <si>
    <t>0640271830</t>
  </si>
  <si>
    <t>06402US590</t>
  </si>
  <si>
    <t>0640300000</t>
  </si>
  <si>
    <t>0640310640</t>
  </si>
  <si>
    <t>0640320130</t>
  </si>
  <si>
    <t>06403UV590</t>
  </si>
  <si>
    <t>0640500000</t>
  </si>
  <si>
    <t>064057065F</t>
  </si>
  <si>
    <t>064057065G</t>
  </si>
  <si>
    <t>064057065V</t>
  </si>
  <si>
    <t>0640600000</t>
  </si>
  <si>
    <t>0640670070</t>
  </si>
  <si>
    <t>0640700000</t>
  </si>
  <si>
    <t>0640700100</t>
  </si>
  <si>
    <t>0640770590</t>
  </si>
  <si>
    <t>06407AD590</t>
  </si>
  <si>
    <t>06407ZP590</t>
  </si>
  <si>
    <t>0700000000</t>
  </si>
  <si>
    <t>0710000000</t>
  </si>
  <si>
    <t>071F300000</t>
  </si>
  <si>
    <t>071F367483</t>
  </si>
  <si>
    <t>071F367484</t>
  </si>
  <si>
    <t>071F36748S</t>
  </si>
  <si>
    <t>0720000000</t>
  </si>
  <si>
    <t>0720200000</t>
  </si>
  <si>
    <t>07202L4970</t>
  </si>
  <si>
    <t>0720300000</t>
  </si>
  <si>
    <t>0720351760</t>
  </si>
  <si>
    <t>0740000000</t>
  </si>
  <si>
    <t>0740100000</t>
  </si>
  <si>
    <t>0740110180</t>
  </si>
  <si>
    <t>0740200000</t>
  </si>
  <si>
    <t>0740200100</t>
  </si>
  <si>
    <t>0740210610</t>
  </si>
  <si>
    <t>0740271370</t>
  </si>
  <si>
    <t>07402GF590</t>
  </si>
  <si>
    <t>0740300000</t>
  </si>
  <si>
    <t>0740310360</t>
  </si>
  <si>
    <t>0740310570</t>
  </si>
  <si>
    <t>0740400000</t>
  </si>
  <si>
    <t>0740420170</t>
  </si>
  <si>
    <t>0740420190</t>
  </si>
  <si>
    <t>0740460080</t>
  </si>
  <si>
    <t>0740600000</t>
  </si>
  <si>
    <t>0740671420</t>
  </si>
  <si>
    <t>07406R0820</t>
  </si>
  <si>
    <t>0740700000</t>
  </si>
  <si>
    <t>0740710170</t>
  </si>
  <si>
    <t>0800000000</t>
  </si>
  <si>
    <t>0840000000</t>
  </si>
  <si>
    <t>0840100000</t>
  </si>
  <si>
    <t>0840110070</t>
  </si>
  <si>
    <t>0840110080</t>
  </si>
  <si>
    <t>0840110090</t>
  </si>
  <si>
    <t>0840200000</t>
  </si>
  <si>
    <t>0840210050</t>
  </si>
  <si>
    <t>0840210100</t>
  </si>
  <si>
    <t>0840300000</t>
  </si>
  <si>
    <t>0840300100</t>
  </si>
  <si>
    <t>08403UT590</t>
  </si>
  <si>
    <t>0900000000</t>
  </si>
  <si>
    <t>0910000000</t>
  </si>
  <si>
    <t>091A100000</t>
  </si>
  <si>
    <t>091A155130</t>
  </si>
  <si>
    <t>0920000000</t>
  </si>
  <si>
    <t>0920100000</t>
  </si>
  <si>
    <t>0920170390</t>
  </si>
  <si>
    <t>0920300000</t>
  </si>
  <si>
    <t>09203L5192</t>
  </si>
  <si>
    <t>0920600000</t>
  </si>
  <si>
    <t>09206L4660</t>
  </si>
  <si>
    <t>0940000000</t>
  </si>
  <si>
    <t>0940100000</t>
  </si>
  <si>
    <t>09401UV590</t>
  </si>
  <si>
    <t>0940200000</t>
  </si>
  <si>
    <t>0940271960</t>
  </si>
  <si>
    <t>09402UL590</t>
  </si>
  <si>
    <t>0940300000</t>
  </si>
  <si>
    <t>0940371960</t>
  </si>
  <si>
    <t>09403UQ590</t>
  </si>
  <si>
    <t>0940400000</t>
  </si>
  <si>
    <t>0940400100</t>
  </si>
  <si>
    <t>0940420210</t>
  </si>
  <si>
    <t>0940420230</t>
  </si>
  <si>
    <t>0940471960</t>
  </si>
  <si>
    <t>09404AD590</t>
  </si>
  <si>
    <t>1000000000</t>
  </si>
  <si>
    <t>1040000000</t>
  </si>
  <si>
    <t>1040100000</t>
  </si>
  <si>
    <t>1040100100</t>
  </si>
  <si>
    <t>10401G0100</t>
  </si>
  <si>
    <t>1040200000</t>
  </si>
  <si>
    <t>1040251200</t>
  </si>
  <si>
    <t>1040259300</t>
  </si>
  <si>
    <t>1040270010</t>
  </si>
  <si>
    <t>1040270020</t>
  </si>
  <si>
    <t>1040300000</t>
  </si>
  <si>
    <t>10403AD590</t>
  </si>
  <si>
    <t>1040400000</t>
  </si>
  <si>
    <t>1040410140</t>
  </si>
  <si>
    <t>1040500000</t>
  </si>
  <si>
    <t>104050A590</t>
  </si>
  <si>
    <t>1040520060</t>
  </si>
  <si>
    <t>10405TD590</t>
  </si>
  <si>
    <t>1040600000</t>
  </si>
  <si>
    <t>1040620140</t>
  </si>
  <si>
    <t>1040700000</t>
  </si>
  <si>
    <t>10407PT590</t>
  </si>
  <si>
    <t>1100000000</t>
  </si>
  <si>
    <t>1140000000</t>
  </si>
  <si>
    <t>1140200000</t>
  </si>
  <si>
    <t>11402DI590</t>
  </si>
  <si>
    <t>1200000000</t>
  </si>
  <si>
    <t>1240000000</t>
  </si>
  <si>
    <t>1240100000</t>
  </si>
  <si>
    <t>1240120030</t>
  </si>
  <si>
    <t>1240120070</t>
  </si>
  <si>
    <t>1240120080</t>
  </si>
  <si>
    <t>1240120090</t>
  </si>
  <si>
    <t>1240120160</t>
  </si>
  <si>
    <t>1240200000</t>
  </si>
  <si>
    <t>124020A590</t>
  </si>
  <si>
    <t>1300000000</t>
  </si>
  <si>
    <t>1340000000</t>
  </si>
  <si>
    <t>1340100000</t>
  </si>
  <si>
    <t>1340110020</t>
  </si>
  <si>
    <t>1340200000</t>
  </si>
  <si>
    <t>1340210130</t>
  </si>
  <si>
    <t>1340220020</t>
  </si>
  <si>
    <t>1400000000</t>
  </si>
  <si>
    <t>1440000000</t>
  </si>
  <si>
    <t>1440100000</t>
  </si>
  <si>
    <t>14401GD590</t>
  </si>
  <si>
    <t>1440200000</t>
  </si>
  <si>
    <t>1440210460</t>
  </si>
  <si>
    <t>1440300000</t>
  </si>
  <si>
    <t>1440310470</t>
  </si>
  <si>
    <t>1440500000</t>
  </si>
  <si>
    <t>1440510490</t>
  </si>
  <si>
    <t>1500000000</t>
  </si>
  <si>
    <t>1510000000</t>
  </si>
  <si>
    <t>151F200000</t>
  </si>
  <si>
    <t>151F255550</t>
  </si>
  <si>
    <t>151F25555D</t>
  </si>
  <si>
    <t>1600000000</t>
  </si>
  <si>
    <t>1640000000</t>
  </si>
  <si>
    <t>1640100000</t>
  </si>
  <si>
    <t>1640110650</t>
  </si>
  <si>
    <t>9900000000</t>
  </si>
  <si>
    <t>9990000000</t>
  </si>
  <si>
    <t>9990000100</t>
  </si>
  <si>
    <t>9990010110</t>
  </si>
  <si>
    <t>99900D0100</t>
  </si>
  <si>
    <t>99900P0100</t>
  </si>
  <si>
    <t>000</t>
  </si>
  <si>
    <t>400</t>
  </si>
  <si>
    <t>100</t>
  </si>
  <si>
    <t>200</t>
  </si>
  <si>
    <t>800</t>
  </si>
  <si>
    <t>600</t>
  </si>
  <si>
    <t>300</t>
  </si>
  <si>
    <t>700</t>
  </si>
  <si>
    <t>00</t>
  </si>
  <si>
    <t>05</t>
  </si>
  <si>
    <t>02</t>
  </si>
  <si>
    <t>01</t>
  </si>
  <si>
    <t>13</t>
  </si>
  <si>
    <t>03</t>
  </si>
  <si>
    <t>04</t>
  </si>
  <si>
    <t>12</t>
  </si>
  <si>
    <t>10</t>
  </si>
  <si>
    <t>09</t>
  </si>
  <si>
    <t>07</t>
  </si>
  <si>
    <t>08</t>
  </si>
  <si>
    <t>11</t>
  </si>
  <si>
    <t>06</t>
  </si>
  <si>
    <t>14</t>
  </si>
  <si>
    <t>Всего расходов:</t>
  </si>
  <si>
    <t xml:space="preserve">          Модернизация и обслуживание элементов АПК «Безопасный город»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</si>
  <si>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</si>
  <si>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Приложение № 5</t>
  </si>
  <si>
    <t>0140120240</t>
  </si>
  <si>
    <t xml:space="preserve">        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</t>
  </si>
  <si>
    <t xml:space="preserve">          Финансовое обеспечение мероприятий по временному социально-бытовому обустройству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на территории Владимирской области</t>
  </si>
  <si>
    <t>Обеспечение мероприятий по капитальному ремонту многоквартирных домов в рамках сводного краткосрочного плана реализации региональной программы капитального ремонта общего имущества в многоквартирных домах на территории Владимирской области за счет средств государственной корпорации - Фонд содействия реформированию ЖКХ</t>
  </si>
  <si>
    <t xml:space="preserve">          Региональные проекты, не входящие в состав национальных проектов</t>
  </si>
  <si>
    <t xml:space="preserve">            Региональный проект "Разработка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проектирования"</t>
  </si>
  <si>
    <t xml:space="preserve">              Обеспечение территорий документацией для осуществления градостроительной деятельности</t>
  </si>
  <si>
    <t xml:space="preserve">                Закупка товаров, работ и услуг для обеспечения государственных (муниципальных) нужд</t>
  </si>
  <si>
    <t>1020000000</t>
  </si>
  <si>
    <t>1020100000</t>
  </si>
  <si>
    <t>1020170080</t>
  </si>
  <si>
    <t>0640281160</t>
  </si>
  <si>
    <t>Компенсация расходов по организации перевозки обучающихся, проживающих на территории Муромского района и обучающихся в общеобразовательных учреждениях округа Муром</t>
  </si>
  <si>
    <t>0140870150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</si>
  <si>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</si>
  <si>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0720400000</t>
  </si>
  <si>
    <t>0720471860</t>
  </si>
  <si>
    <t>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</si>
  <si>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 xml:space="preserve">  Региональный проект "Оказание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бюджетов"</t>
  </si>
  <si>
    <t>0720500000</t>
  </si>
  <si>
    <t>0720570810</t>
  </si>
  <si>
    <t>Обеспечение жильем многодетных семей</t>
  </si>
  <si>
    <t xml:space="preserve">  Региональный проект "Обеспечение мер социальной поддержки многодетных семей"</t>
  </si>
  <si>
    <t>0120300000</t>
  </si>
  <si>
    <t>0120370130</t>
  </si>
  <si>
    <t xml:space="preserve">      Региональный проект "Энергосбережение и повышение энергетической эффективности в энергетическом комплексе области"</t>
  </si>
  <si>
    <t xml:space="preserve">        Замена устаревших светильников на новые энергоэффективные, монтаж самонесущих изолированных проводов</t>
  </si>
  <si>
    <t>07205S0810</t>
  </si>
  <si>
    <t>01408S0150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</si>
  <si>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</si>
  <si>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10201S0080</t>
  </si>
  <si>
    <t>01203S0130</t>
  </si>
  <si>
    <t>0320172000</t>
  </si>
  <si>
    <t>Содержание объектов спортивной инфраструктуры муниципальной собственности для занятий физической культурой и спортом</t>
  </si>
  <si>
    <t>0320171600</t>
  </si>
  <si>
    <t>Развитие физической культуры и спорта</t>
  </si>
  <si>
    <t>Реализация программ спортивной подготовки в соответствии с требованиями федеральных стандартов спортивной подготовки</t>
  </si>
  <si>
    <t>0320171700</t>
  </si>
  <si>
    <t>0120270050</t>
  </si>
  <si>
    <t>0720100000</t>
  </si>
  <si>
    <t>0720170090</t>
  </si>
  <si>
    <t>Строительство социального жилья и приобретение жилых помещений для граждан, нуждающихся в улучшении жилищных условий</t>
  </si>
  <si>
    <t xml:space="preserve">  Региональный проект "Улучшение жилищных условий граждан, признанных нуждающимися в жилых помещениях, предоставляемых по договорам социального найма, и работников бюджетной сферы с предоставлением служебных жилых помещений по договорам найма специализированного жилищного фонда"</t>
  </si>
  <si>
    <t>9990010730</t>
  </si>
  <si>
    <t xml:space="preserve">        Выполнение работ, связанных с осуществлением регулярных перевозок по регулируемым тарифам на территории муниципального образования округ Муром</t>
  </si>
  <si>
    <t>0140400000</t>
  </si>
  <si>
    <t>0140440010</t>
  </si>
  <si>
    <t xml:space="preserve">        Строительство (реконструкция) объектов муниципальной собственности округа</t>
  </si>
  <si>
    <t xml:space="preserve">  Комплекс процессных мероприятий "Строительство, реконструкция и техническое перевооружение объектов водоснабжения и водоотведения"</t>
  </si>
  <si>
    <t>0640271430</t>
  </si>
  <si>
    <t xml:space="preserve">        Проведение мероприятий по созданию в образовательных организациях условий для получения детьми-инвалидами качественного образования</t>
  </si>
  <si>
    <t>0640400000</t>
  </si>
  <si>
    <t>0640471430</t>
  </si>
  <si>
    <t xml:space="preserve">  Комплекс процессных мероприятий "Организация отдыха детей в каникулярное время"</t>
  </si>
  <si>
    <t xml:space="preserve">    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</si>
  <si>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0120400000</t>
  </si>
  <si>
    <t>01204L2990</t>
  </si>
  <si>
    <t xml:space="preserve">     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</si>
  <si>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 xml:space="preserve">          Региональные проекты, обеспечивающие достижение результатов федеральных проектов, входящих в состав национальных проектов</t>
  </si>
  <si>
    <t xml:space="preserve">            Региональный проект "Безопасность дорожного движения (Владимирская область)"</t>
  </si>
  <si>
    <t xml:space="preserve">    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 (Владимирская область)"</t>
  </si>
  <si>
    <t xml:space="preserve">                Предоставление субсидий бюджетным, автономным учреждениям и иным некоммерческим организациям
</t>
  </si>
  <si>
    <t>0610000000</t>
  </si>
  <si>
    <t>061R300000</t>
  </si>
  <si>
    <t>061R37136S</t>
  </si>
  <si>
    <t>0640271690</t>
  </si>
  <si>
    <t>Создание и оборудование кабинетов наркопрофилактики в образовательных организациях</t>
  </si>
  <si>
    <t xml:space="preserve">        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</t>
  </si>
  <si>
    <t>0840310040</t>
  </si>
  <si>
    <t xml:space="preserve">         Исполнение судебных актов</t>
  </si>
  <si>
    <t>0840400000</t>
  </si>
  <si>
    <t>0840440070</t>
  </si>
  <si>
    <t xml:space="preserve">       Комплекс процессных мероприятий "Приобретение имущества в муниципальную собственность"</t>
  </si>
  <si>
    <t xml:space="preserve">         Приобретение в муниципальную собственность округа Муром объектов недвижимости, расположенных по адресу: Владимирская область, г. Муром, ул. Энгельса, д.23а</t>
  </si>
  <si>
    <t>06402S1690</t>
  </si>
  <si>
    <t>16401S1680</t>
  </si>
  <si>
    <t>06402S1430</t>
  </si>
  <si>
    <t>06404S1430</t>
  </si>
  <si>
    <t>07201S0090</t>
  </si>
  <si>
    <t>151F254240</t>
  </si>
  <si>
    <t xml:space="preserve">  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</si>
  <si>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0120100000</t>
  </si>
  <si>
    <t>0120172460</t>
  </si>
  <si>
    <t xml:space="preserve">  Региональный проект "Содействие развитию автомобильных дорог общего пользования местного значения"</t>
  </si>
  <si>
    <t>01201S2460</t>
  </si>
  <si>
    <t xml:space="preserve">        Исполнение судебных актов</t>
  </si>
  <si>
    <t>0140910040</t>
  </si>
  <si>
    <t>0920200000</t>
  </si>
  <si>
    <t>0920271530</t>
  </si>
  <si>
    <t>Организация и проведение культурно-массовых мероприятий</t>
  </si>
  <si>
    <t xml:space="preserve">  Региональный проект "Меры по повышению престижа семьи и брака, значимости семейных ценностей и традиций"</t>
  </si>
  <si>
    <t>151F25424D</t>
  </si>
  <si>
    <t>09202S1530</t>
  </si>
  <si>
    <t>0620271930</t>
  </si>
  <si>
    <t xml:space="preserve">        Укрепление материально-технической базы муниципальных образовательных организаций</t>
  </si>
  <si>
    <t>031P55229S</t>
  </si>
  <si>
    <t>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</si>
  <si>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>101J100000</t>
  </si>
  <si>
    <t>101J153330</t>
  </si>
  <si>
    <t xml:space="preserve">            Региональный проект "Развитие туристической инфраструктуры (Владимирская область)"</t>
  </si>
  <si>
    <t xml:space="preserve">              Государственная поддержка региональных программ по проектированию туристского кода центра города</t>
  </si>
  <si>
    <t>9990056940</t>
  </si>
  <si>
    <t>011J100000</t>
  </si>
  <si>
    <t>011J153330</t>
  </si>
  <si>
    <t>Государственная поддержка региональных программ по проектированию туристского кода центра города</t>
  </si>
  <si>
    <t xml:space="preserve">      Региональный проект "Развитие туристической инфраструктуры (Владимирская область)"</t>
  </si>
  <si>
    <t>0141100000</t>
  </si>
  <si>
    <t>0141110750</t>
  </si>
  <si>
    <t xml:space="preserve">            Комплекс процессных мероприятий "Создание и приведение контейнерных площадок в соответствие с требованиями СанПин 2.1.3648-21"</t>
  </si>
  <si>
    <t xml:space="preserve">              Приведение контейнерных площадок в нормативное состояние в соответствие с требованиями СанПин 2.1.3684-21</t>
  </si>
  <si>
    <t>06202S1930</t>
  </si>
  <si>
    <t xml:space="preserve">        Региональный проект "Патриотическое воспитание граждан Российской Федерации"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</si>
  <si>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</si>
  <si>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061EВ00000</t>
  </si>
  <si>
    <t>061EВ51790</t>
  </si>
  <si>
    <t xml:space="preserve">    Муниципальная программа "Модернизация школьных систем образования"</t>
  </si>
  <si>
    <t xml:space="preserve">      Комплексы процессных мероприятий</t>
  </si>
  <si>
    <t xml:space="preserve">          Модернизация общеобразовательных учреждений</t>
  </si>
  <si>
    <t xml:space="preserve">            Предоставление субсидий бюджетным, автономным учреждениям и иным некоммерческим организациям
</t>
  </si>
  <si>
    <t>1700000000</t>
  </si>
  <si>
    <t>1740000000</t>
  </si>
  <si>
    <t>1740100000</t>
  </si>
  <si>
    <t>1740110230</t>
  </si>
  <si>
    <t xml:space="preserve">        Комплекс процессных мероприятий "Организация предоставления общедоступного и бесплатного общего образования по основным общеобразовательным программам"</t>
  </si>
  <si>
    <t>9990055491</t>
  </si>
  <si>
    <t>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</si>
  <si>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01205S1580</t>
  </si>
  <si>
    <t>0120500000</t>
  </si>
  <si>
    <t xml:space="preserve">  Региональный проект "Модернизация объектов теплоснабжения, водоснабжения, водоотведения и очистки сточных вод"</t>
  </si>
  <si>
    <t xml:space="preserve">    Строительство, реконструкция и модернизация систем (объектов) теплоснабжения, водоснабжения, водоотведения и очистки сточных вод</t>
  </si>
  <si>
    <t>0140210440</t>
  </si>
  <si>
    <t xml:space="preserve">        Обслуживание прочих объектов благоустройства</t>
  </si>
  <si>
    <t xml:space="preserve">      Региональный проект "Меры по созданию благоприятных условий и возможностей для проявления и развития потенциала молодежи"</t>
  </si>
  <si>
    <t xml:space="preserve">        Реализация проектов-победителей конкурсов в сфере молодежной политики</t>
  </si>
  <si>
    <t>0420000000</t>
  </si>
  <si>
    <t>0420100000</t>
  </si>
  <si>
    <t>0420170630</t>
  </si>
  <si>
    <t>0920700000</t>
  </si>
  <si>
    <t>0920772590</t>
  </si>
  <si>
    <t xml:space="preserve">        Региональный проект "Содействие развитию системы дошкольного, общего и дополнительного образования"</t>
  </si>
  <si>
    <t xml:space="preserve">          Осуществление в 2023 году премиальной выплаты педагогическим работникам муниципальных образовательных организаций области по итогам работы за 2022/2023 учебный год</t>
  </si>
  <si>
    <t>0320400000</t>
  </si>
  <si>
    <t>0320472590</t>
  </si>
  <si>
    <t>Возмещение расходов, понесенных бюджетами субъектов Российской Федерации, местными бюджетами в 2022-2023 годах на размещение и питание граждан Российской Федерации, иностранных граждан и лиц без гражданства, постоянно проживающих на территориях Украины, а также на территориях Российской Федерации, на которых введены максимальный и средний уровни реагирования, вынужденно покинувших жилые помещения и находившихся в пунктах временного размещения и питания, за счет средств резервного фонда Правительства Российской Федерации</t>
  </si>
  <si>
    <t>0620272590</t>
  </si>
  <si>
    <t>Осуществление в 2023 году премиальной выплаты педагогическим работникам муниципальных образовательных организаций области по итогам работы за 2022/2023 учебный год</t>
  </si>
  <si>
    <t>0,0,</t>
  </si>
  <si>
    <t>9990097001</t>
  </si>
  <si>
    <t>Приобретение подвижного состава пассажирского транспорта общего пользования, в том числе по договору финансовой аренды (лизинга), источником финансового обеспечения которых являются специальные казначейские кредиты</t>
  </si>
  <si>
    <t>0620272610</t>
  </si>
  <si>
    <t>Дополнительное финансовое обеспечение деятельности групп продленного дня в муниципальных и частных общеобразовательных организациях для обучающихся 1 классов на 2023 год</t>
  </si>
  <si>
    <t>0320300000</t>
  </si>
  <si>
    <t>0320371740</t>
  </si>
  <si>
    <t xml:space="preserve">  Региональный проект "Развитие физкультурно-спортивных организаций на территории Владимирской области"</t>
  </si>
  <si>
    <t xml:space="preserve">    Развитие физической культуры и спорта</t>
  </si>
  <si>
    <t>06202S2610</t>
  </si>
  <si>
    <t xml:space="preserve">        Дополнительное финансовое обеспечение деятельности групп продленного дня в муниципальных и частных общеобразовательных организациях для обучающихся 1 классов на 2023 год</t>
  </si>
  <si>
    <t>0640360100</t>
  </si>
  <si>
    <t xml:space="preserve">        Иные бюджетные ассигнования</t>
  </si>
  <si>
    <t xml:space="preserve">        Финансовое обеспечение исполнения социального заказа в сфере дополнительного образования детей юридическими лицами, не являющимися муниципальными бюджетными (автономными) учреждениями</t>
  </si>
  <si>
    <t>06403US590</t>
  </si>
  <si>
    <t xml:space="preserve">        Поощрение сельских старост</t>
  </si>
  <si>
    <t xml:space="preserve">  Региональный проект "Определение и поддержка приоритетных направлений туристической деятельности"</t>
  </si>
  <si>
    <t xml:space="preserve">    Исполнение мероприятий по созданию благоприятных условий по развитию туризма</t>
  </si>
  <si>
    <t>0740310760</t>
  </si>
  <si>
    <t xml:space="preserve">        Дополнительные расходы, связанные с содержанием незаселенных жилых помещений муниципального жилищного фонда округа Муром</t>
  </si>
  <si>
    <t>062027148G</t>
  </si>
  <si>
    <t xml:space="preserve">        Поддержка организаций в сфере образования (победители регионального конкурса муниципальных общеобразовательных организаций, внедряющих инновационные образовательные программы)</t>
  </si>
  <si>
    <t>062027148N</t>
  </si>
  <si>
    <t xml:space="preserve">        Поддержка организаций в сфере образования (победители регионального конкурса программ перехода в эффективный режим работы общеобразовательных организаций, работающих в неблагоприятных социальных условиях, и общеобразовательных организаций с низкими результатами обучения)</t>
  </si>
  <si>
    <t>062027148P</t>
  </si>
  <si>
    <t xml:space="preserve">        Поддержка организаций в сфере образования (победители и лауреаты регионального конкурса на присуждение премий лучшим учителям за достижения в педагогической деятельности)</t>
  </si>
  <si>
    <t>0120700000</t>
  </si>
  <si>
    <t>0120771990</t>
  </si>
  <si>
    <t>012077199D</t>
  </si>
  <si>
    <t xml:space="preserve">от 16.11.2023 № 593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</si>
</sst>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00000"/>
    <numFmt numFmtId="166" formatCode="#,##0.0"/>
    <numFmt numFmtId="167" formatCode="#,##0.00000"/>
    <numFmt numFmtId="168" formatCode="#,##0.00000000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1" fontId="2" fillId="0" borderId="2">
      <alignment vertical="top" wrapTex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166" fontId="3" fillId="2" borderId="2">
      <alignment horizontal="right" vertical="top" shrinkToFit="1"/>
    </xf>
    <xf numFmtId="166" fontId="3" fillId="2" borderId="3">
      <alignment horizontal="right" vertical="top" shrinkToFit="1"/>
    </xf>
  </cellStyleXfs>
  <cellXfs count="67">
    <xf numFmtId="0" fontId="0" fillId="0" borderId="0" xfId="0"/>
    <xf numFmtId="0" fontId="2" fillId="0" borderId="1" xfId="2" applyNumberFormat="1" applyFont="1" applyFill="1" applyProtection="1"/>
    <xf numFmtId="0" fontId="0" fillId="0" borderId="0" xfId="0" applyFont="1" applyFill="1" applyProtection="1">
      <protection locked="0"/>
    </xf>
    <xf numFmtId="0" fontId="8" fillId="0" borderId="2" xfId="4" applyNumberFormat="1" applyFont="1" applyFill="1" applyProtection="1">
      <alignment horizontal="center" vertical="center" wrapText="1"/>
    </xf>
    <xf numFmtId="164" fontId="2" fillId="0" borderId="1" xfId="2" applyNumberFormat="1" applyFont="1" applyFill="1" applyProtection="1"/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right"/>
      <protection locked="0"/>
    </xf>
    <xf numFmtId="1" fontId="10" fillId="0" borderId="2" xfId="6" applyNumberFormat="1" applyFont="1" applyFill="1" applyProtection="1">
      <alignment horizontal="center" vertical="top" shrinkToFit="1"/>
    </xf>
    <xf numFmtId="0" fontId="2" fillId="0" borderId="5" xfId="12" applyNumberFormat="1" applyFont="1" applyFill="1" applyBorder="1" applyAlignment="1" applyProtection="1">
      <alignment wrapText="1"/>
    </xf>
    <xf numFmtId="0" fontId="2" fillId="0" borderId="6" xfId="12" applyFont="1" applyFill="1" applyBorder="1" applyAlignment="1">
      <alignment wrapText="1"/>
    </xf>
    <xf numFmtId="165" fontId="7" fillId="0" borderId="4" xfId="2" applyNumberFormat="1" applyFont="1" applyFill="1" applyBorder="1" applyProtection="1"/>
    <xf numFmtId="165" fontId="7" fillId="0" borderId="4" xfId="12" applyNumberFormat="1" applyFont="1" applyFill="1" applyBorder="1" applyAlignment="1">
      <alignment wrapText="1"/>
    </xf>
    <xf numFmtId="0" fontId="0" fillId="0" borderId="4" xfId="0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0" fontId="11" fillId="0" borderId="4" xfId="0" applyFont="1" applyFill="1" applyBorder="1" applyProtection="1">
      <protection locked="0"/>
    </xf>
    <xf numFmtId="165" fontId="11" fillId="0" borderId="4" xfId="0" applyNumberFormat="1" applyFont="1" applyFill="1" applyBorder="1" applyProtection="1">
      <protection locked="0"/>
    </xf>
    <xf numFmtId="0" fontId="7" fillId="0" borderId="2" xfId="5" applyNumberFormat="1" applyFont="1" applyFill="1" applyProtection="1">
      <alignment vertical="top" wrapText="1"/>
    </xf>
    <xf numFmtId="1" fontId="7" fillId="0" borderId="2" xfId="6" applyNumberFormat="1" applyFont="1" applyFill="1" applyProtection="1">
      <alignment horizontal="center" vertical="top" shrinkToFit="1"/>
    </xf>
    <xf numFmtId="166" fontId="2" fillId="0" borderId="1" xfId="2" applyNumberFormat="1" applyFont="1" applyFill="1" applyProtection="1"/>
    <xf numFmtId="0" fontId="7" fillId="0" borderId="13" xfId="5" applyNumberFormat="1" applyFont="1" applyFill="1" applyBorder="1" applyProtection="1">
      <alignment vertical="top" wrapText="1"/>
    </xf>
    <xf numFmtId="1" fontId="10" fillId="0" borderId="14" xfId="6" applyNumberFormat="1" applyFont="1" applyFill="1" applyBorder="1" applyProtection="1">
      <alignment horizontal="center" vertical="top" shrinkToFit="1"/>
    </xf>
    <xf numFmtId="1" fontId="7" fillId="0" borderId="13" xfId="6" applyNumberFormat="1" applyFont="1" applyFill="1" applyBorder="1" applyProtection="1">
      <alignment horizontal="center" vertical="top" shrinkToFit="1"/>
    </xf>
    <xf numFmtId="0" fontId="0" fillId="0" borderId="4" xfId="0" applyFont="1" applyFill="1" applyBorder="1" applyAlignment="1" applyProtection="1">
      <protection locked="0"/>
    </xf>
    <xf numFmtId="0" fontId="11" fillId="0" borderId="4" xfId="0" applyFont="1" applyFill="1" applyBorder="1" applyAlignment="1" applyProtection="1">
      <protection locked="0"/>
    </xf>
    <xf numFmtId="167" fontId="11" fillId="0" borderId="4" xfId="0" applyNumberFormat="1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9" fillId="0" borderId="2" xfId="5" applyNumberFormat="1" applyFont="1" applyFill="1" applyProtection="1">
      <alignment vertical="top" wrapText="1"/>
    </xf>
    <xf numFmtId="1" fontId="14" fillId="0" borderId="2" xfId="6" applyNumberFormat="1" applyFont="1" applyFill="1" applyProtection="1">
      <alignment horizontal="center" vertical="top" shrinkToFit="1"/>
    </xf>
    <xf numFmtId="1" fontId="9" fillId="0" borderId="2" xfId="6" applyNumberFormat="1" applyFont="1" applyFill="1" applyProtection="1">
      <alignment horizontal="center" vertical="top" shrinkToFit="1"/>
    </xf>
    <xf numFmtId="0" fontId="10" fillId="0" borderId="2" xfId="5" applyNumberFormat="1" applyFont="1" applyFill="1" applyProtection="1">
      <alignment vertical="top" wrapText="1"/>
    </xf>
    <xf numFmtId="49" fontId="7" fillId="0" borderId="2" xfId="6" applyNumberFormat="1" applyFont="1" applyFill="1" applyProtection="1">
      <alignment horizontal="center" vertical="top" shrinkToFit="1"/>
    </xf>
    <xf numFmtId="1" fontId="10" fillId="0" borderId="9" xfId="6" applyNumberFormat="1" applyFont="1" applyFill="1" applyBorder="1" applyProtection="1">
      <alignment horizontal="center" vertical="top" shrinkToFit="1"/>
    </xf>
    <xf numFmtId="0" fontId="7" fillId="0" borderId="12" xfId="5" applyNumberFormat="1" applyFont="1" applyFill="1" applyBorder="1" applyProtection="1">
      <alignment vertical="top" wrapText="1"/>
    </xf>
    <xf numFmtId="1" fontId="10" fillId="0" borderId="12" xfId="6" applyNumberFormat="1" applyFont="1" applyFill="1" applyBorder="1" applyProtection="1">
      <alignment horizontal="center" vertical="top" shrinkToFit="1"/>
    </xf>
    <xf numFmtId="1" fontId="7" fillId="0" borderId="12" xfId="6" applyNumberFormat="1" applyFont="1" applyFill="1" applyBorder="1" applyProtection="1">
      <alignment horizontal="center" vertical="top" shrinkToFit="1"/>
    </xf>
    <xf numFmtId="49" fontId="7" fillId="0" borderId="12" xfId="6" applyNumberFormat="1" applyFont="1" applyFill="1" applyBorder="1" applyProtection="1">
      <alignment horizontal="center" vertical="top" shrinkToFit="1"/>
    </xf>
    <xf numFmtId="1" fontId="10" fillId="0" borderId="8" xfId="6" applyNumberFormat="1" applyFont="1" applyFill="1" applyBorder="1" applyProtection="1">
      <alignment horizontal="center" vertical="top" shrinkToFit="1"/>
    </xf>
    <xf numFmtId="0" fontId="7" fillId="0" borderId="15" xfId="10" applyNumberFormat="1" applyFont="1" applyFill="1" applyBorder="1" applyAlignment="1" applyProtection="1">
      <alignment horizontal="left" vertical="top" wrapText="1"/>
    </xf>
    <xf numFmtId="168" fontId="11" fillId="0" borderId="4" xfId="0" applyNumberFormat="1" applyFont="1" applyFill="1" applyBorder="1" applyAlignment="1" applyProtection="1">
      <protection locked="0"/>
    </xf>
    <xf numFmtId="0" fontId="7" fillId="0" borderId="15" xfId="5" applyNumberFormat="1" applyFont="1" applyFill="1" applyBorder="1" applyProtection="1">
      <alignment vertical="top" wrapText="1"/>
    </xf>
    <xf numFmtId="0" fontId="7" fillId="0" borderId="2" xfId="6" applyNumberFormat="1" applyFont="1" applyFill="1" applyProtection="1">
      <alignment horizontal="center" vertical="top" shrinkToFit="1"/>
    </xf>
    <xf numFmtId="166" fontId="9" fillId="0" borderId="2" xfId="24" applyNumberFormat="1" applyFont="1" applyFill="1" applyProtection="1">
      <alignment horizontal="right" vertical="top" shrinkToFit="1"/>
    </xf>
    <xf numFmtId="166" fontId="10" fillId="0" borderId="2" xfId="24" applyNumberFormat="1" applyFont="1" applyFill="1" applyProtection="1">
      <alignment horizontal="right" vertical="top" shrinkToFit="1"/>
    </xf>
    <xf numFmtId="166" fontId="7" fillId="0" borderId="2" xfId="24" applyNumberFormat="1" applyFont="1" applyFill="1" applyProtection="1">
      <alignment horizontal="right" vertical="top" shrinkToFit="1"/>
    </xf>
    <xf numFmtId="166" fontId="7" fillId="0" borderId="12" xfId="24" applyNumberFormat="1" applyFont="1" applyFill="1" applyBorder="1" applyProtection="1">
      <alignment horizontal="right" vertical="top" shrinkToFit="1"/>
    </xf>
    <xf numFmtId="166" fontId="7" fillId="0" borderId="13" xfId="24" applyNumberFormat="1" applyFont="1" applyFill="1" applyBorder="1" applyProtection="1">
      <alignment horizontal="right" vertical="top" shrinkToFit="1"/>
    </xf>
    <xf numFmtId="166" fontId="9" fillId="0" borderId="4" xfId="25" applyNumberFormat="1" applyFont="1" applyFill="1" applyBorder="1" applyProtection="1">
      <alignment horizontal="right" vertical="top" shrinkToFit="1"/>
    </xf>
    <xf numFmtId="49" fontId="7" fillId="0" borderId="13" xfId="6" applyNumberFormat="1" applyFont="1" applyFill="1" applyBorder="1" applyProtection="1">
      <alignment horizontal="center" vertical="top" shrinkToFit="1"/>
    </xf>
    <xf numFmtId="165" fontId="2" fillId="0" borderId="1" xfId="2" applyNumberFormat="1" applyFont="1" applyFill="1" applyProtection="1"/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2" fillId="0" borderId="5" xfId="2" applyNumberFormat="1" applyFont="1" applyFill="1" applyBorder="1" applyAlignment="1" applyProtection="1">
      <alignment horizontal="center"/>
    </xf>
    <xf numFmtId="0" fontId="2" fillId="0" borderId="6" xfId="2" applyNumberFormat="1" applyFont="1" applyFill="1" applyBorder="1" applyAlignment="1" applyProtection="1">
      <alignment horizontal="center"/>
    </xf>
    <xf numFmtId="0" fontId="2" fillId="0" borderId="7" xfId="2" applyNumberFormat="1" applyFont="1" applyFill="1" applyBorder="1" applyAlignment="1" applyProtection="1">
      <alignment horizontal="center"/>
    </xf>
    <xf numFmtId="0" fontId="7" fillId="0" borderId="1" xfId="3" applyNumberFormat="1" applyFont="1" applyFill="1" applyProtection="1">
      <alignment horizontal="right"/>
    </xf>
    <xf numFmtId="0" fontId="7" fillId="0" borderId="1" xfId="3" applyFont="1" applyFill="1">
      <alignment horizontal="right"/>
    </xf>
    <xf numFmtId="0" fontId="11" fillId="0" borderId="0" xfId="0" applyFont="1" applyFill="1" applyAlignment="1" applyProtection="1">
      <alignment horizontal="right"/>
      <protection locked="0"/>
    </xf>
    <xf numFmtId="0" fontId="9" fillId="0" borderId="1" xfId="1" applyNumberFormat="1" applyFont="1" applyFill="1" applyAlignment="1" applyProtection="1">
      <alignment horizontal="center" wrapText="1"/>
    </xf>
    <xf numFmtId="0" fontId="9" fillId="0" borderId="1" xfId="1" applyFont="1" applyFill="1" applyAlignment="1">
      <alignment horizontal="center" wrapText="1"/>
    </xf>
    <xf numFmtId="0" fontId="7" fillId="0" borderId="1" xfId="1" applyNumberFormat="1" applyFont="1" applyFill="1" applyProtection="1">
      <alignment horizontal="center"/>
    </xf>
    <xf numFmtId="0" fontId="7" fillId="0" borderId="1" xfId="1" applyFont="1" applyFill="1">
      <alignment horizontal="center"/>
    </xf>
    <xf numFmtId="0" fontId="9" fillId="0" borderId="10" xfId="5" applyNumberFormat="1" applyFont="1" applyFill="1" applyBorder="1" applyAlignment="1" applyProtection="1">
      <alignment horizontal="center" vertical="top" wrapText="1"/>
    </xf>
    <xf numFmtId="0" fontId="9" fillId="0" borderId="11" xfId="5" applyNumberFormat="1" applyFont="1" applyFill="1" applyBorder="1" applyAlignment="1" applyProtection="1">
      <alignment horizontal="center" vertical="top" wrapText="1"/>
    </xf>
  </cellXfs>
  <cellStyles count="26">
    <cellStyle name="br" xfId="15" xr:uid="{00000000-0005-0000-0000-000000000000}"/>
    <cellStyle name="col" xfId="14" xr:uid="{00000000-0005-0000-0000-000001000000}"/>
    <cellStyle name="st23" xfId="25" xr:uid="{00000000-0005-0000-0000-000002000000}"/>
    <cellStyle name="st25" xfId="24" xr:uid="{00000000-0005-0000-0000-000003000000}"/>
    <cellStyle name="style0" xfId="16" xr:uid="{00000000-0005-0000-0000-000004000000}"/>
    <cellStyle name="td" xfId="17" xr:uid="{00000000-0005-0000-0000-000005000000}"/>
    <cellStyle name="tr" xfId="13" xr:uid="{00000000-0005-0000-0000-000006000000}"/>
    <cellStyle name="xl21" xfId="18" xr:uid="{00000000-0005-0000-0000-000007000000}"/>
    <cellStyle name="xl22" xfId="4" xr:uid="{00000000-0005-0000-0000-000008000000}"/>
    <cellStyle name="xl23" xfId="2" xr:uid="{00000000-0005-0000-0000-000009000000}"/>
    <cellStyle name="xl24" xfId="19" xr:uid="{00000000-0005-0000-0000-00000A000000}"/>
    <cellStyle name="xl25" xfId="9" xr:uid="{00000000-0005-0000-0000-00000B000000}"/>
    <cellStyle name="xl26" xfId="10" xr:uid="{00000000-0005-0000-0000-00000C000000}"/>
    <cellStyle name="xl27" xfId="11" xr:uid="{00000000-0005-0000-0000-00000D000000}"/>
    <cellStyle name="xl28" xfId="1" xr:uid="{00000000-0005-0000-0000-00000E000000}"/>
    <cellStyle name="xl29" xfId="3" xr:uid="{00000000-0005-0000-0000-00000F000000}"/>
    <cellStyle name="xl30" xfId="12" xr:uid="{00000000-0005-0000-0000-000010000000}"/>
    <cellStyle name="xl31" xfId="5" xr:uid="{00000000-0005-0000-0000-000011000000}"/>
    <cellStyle name="xl32" xfId="20" xr:uid="{00000000-0005-0000-0000-000012000000}"/>
    <cellStyle name="xl33" xfId="6" xr:uid="{00000000-0005-0000-0000-000013000000}"/>
    <cellStyle name="xl34" xfId="7" xr:uid="{00000000-0005-0000-0000-000014000000}"/>
    <cellStyle name="xl35" xfId="21" xr:uid="{00000000-0005-0000-0000-000015000000}"/>
    <cellStyle name="xl36" xfId="22" xr:uid="{00000000-0005-0000-0000-000016000000}"/>
    <cellStyle name="xl37" xfId="8" xr:uid="{00000000-0005-0000-0000-000017000000}"/>
    <cellStyle name="xl38" xfId="23" xr:uid="{00000000-0005-0000-0000-000018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2"/>
  <sheetViews>
    <sheetView showGridLines="0" tabSelected="1" zoomScaleNormal="100" zoomScaleSheetLayoutView="100" workbookViewId="0">
      <pane ySplit="9" topLeftCell="A669" activePane="bottomLeft" state="frozen"/>
      <selection pane="bottomLeft" activeCell="J3" sqref="J3:K3"/>
    </sheetView>
  </sheetViews>
  <sheetFormatPr defaultColWidth="8.85546875" defaultRowHeight="15" outlineLevelRow="6" x14ac:dyDescent="0.25"/>
  <cols>
    <col min="1" max="1" width="40.140625" style="2" customWidth="1"/>
    <col min="2" max="2" width="7.42578125" style="2" hidden="1" customWidth="1"/>
    <col min="3" max="3" width="5.42578125" style="2" hidden="1" customWidth="1"/>
    <col min="4" max="4" width="5.5703125" style="2" hidden="1" customWidth="1"/>
    <col min="5" max="5" width="10.42578125" style="2" customWidth="1"/>
    <col min="6" max="6" width="7.85546875" style="2" customWidth="1"/>
    <col min="7" max="8" width="7.42578125" style="2" customWidth="1"/>
    <col min="9" max="11" width="14.7109375" style="2" customWidth="1"/>
    <col min="12" max="12" width="20.28515625" style="2" customWidth="1"/>
    <col min="13" max="16384" width="8.85546875" style="2"/>
  </cols>
  <sheetData>
    <row r="1" spans="1:12" ht="15.75" x14ac:dyDescent="0.25">
      <c r="A1" s="5"/>
      <c r="B1" s="5"/>
      <c r="C1" s="5"/>
      <c r="D1" s="5"/>
      <c r="E1" s="5"/>
      <c r="F1" s="5"/>
      <c r="G1" s="5"/>
      <c r="H1" s="5"/>
      <c r="I1" s="7"/>
      <c r="J1" s="60" t="s">
        <v>518</v>
      </c>
      <c r="K1" s="60"/>
    </row>
    <row r="2" spans="1:12" ht="15.75" x14ac:dyDescent="0.25">
      <c r="A2" s="5"/>
      <c r="B2" s="5"/>
      <c r="C2" s="5"/>
      <c r="D2" s="5"/>
      <c r="E2" s="5"/>
      <c r="F2" s="5"/>
      <c r="G2" s="5"/>
      <c r="H2" s="5"/>
      <c r="I2" s="60" t="s">
        <v>10</v>
      </c>
      <c r="J2" s="60"/>
      <c r="K2" s="60"/>
    </row>
    <row r="3" spans="1:12" ht="15.75" x14ac:dyDescent="0.25">
      <c r="A3" s="5"/>
      <c r="B3" s="5"/>
      <c r="C3" s="5"/>
      <c r="D3" s="5"/>
      <c r="E3" s="5"/>
      <c r="F3" s="5"/>
      <c r="G3" s="5"/>
      <c r="H3" s="5"/>
      <c r="I3" s="7"/>
      <c r="J3" s="60" t="s">
        <v>694</v>
      </c>
      <c r="K3" s="60"/>
    </row>
    <row r="4" spans="1:12" ht="15.75" x14ac:dyDescent="0.25">
      <c r="A4" s="5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2" ht="15.75" x14ac:dyDescent="0.25">
      <c r="A5" s="5"/>
      <c r="B5" s="5"/>
      <c r="C5" s="5"/>
      <c r="D5" s="5"/>
      <c r="E5" s="5"/>
      <c r="F5" s="5"/>
      <c r="G5" s="5"/>
      <c r="H5" s="5"/>
      <c r="I5" s="5"/>
      <c r="J5" s="6"/>
      <c r="K5" s="6"/>
    </row>
    <row r="6" spans="1:12" ht="48" customHeight="1" x14ac:dyDescent="0.25">
      <c r="A6" s="61" t="s">
        <v>14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.75" x14ac:dyDescent="0.2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1"/>
    </row>
    <row r="8" spans="1:12" ht="15.75" x14ac:dyDescent="0.25">
      <c r="A8" s="58" t="s">
        <v>11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1"/>
    </row>
    <row r="9" spans="1:12" ht="51" x14ac:dyDescent="0.25">
      <c r="A9" s="3" t="s">
        <v>3</v>
      </c>
      <c r="B9" s="3" t="s">
        <v>0</v>
      </c>
      <c r="C9" s="3" t="s">
        <v>1</v>
      </c>
      <c r="D9" s="3" t="s">
        <v>2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15</v>
      </c>
      <c r="L9" s="1"/>
    </row>
    <row r="10" spans="1:12" ht="63" x14ac:dyDescent="0.25">
      <c r="A10" s="29" t="s">
        <v>16</v>
      </c>
      <c r="B10" s="30"/>
      <c r="C10" s="30"/>
      <c r="D10" s="30"/>
      <c r="E10" s="31" t="s">
        <v>231</v>
      </c>
      <c r="F10" s="31" t="s">
        <v>492</v>
      </c>
      <c r="G10" s="31" t="s">
        <v>500</v>
      </c>
      <c r="H10" s="31" t="s">
        <v>500</v>
      </c>
      <c r="I10" s="44">
        <f>I11+I18+I45</f>
        <v>753962.40428000002</v>
      </c>
      <c r="J10" s="44">
        <f t="shared" ref="J10:K10" si="0">J11+J18+J45</f>
        <v>233837.06999999995</v>
      </c>
      <c r="K10" s="44">
        <f t="shared" si="0"/>
        <v>227641.86799999999</v>
      </c>
      <c r="L10" s="1"/>
    </row>
    <row r="11" spans="1:12" ht="78.75" outlineLevel="1" x14ac:dyDescent="0.25">
      <c r="A11" s="32" t="s">
        <v>17</v>
      </c>
      <c r="B11" s="8"/>
      <c r="C11" s="8"/>
      <c r="D11" s="8"/>
      <c r="E11" s="8" t="s">
        <v>232</v>
      </c>
      <c r="F11" s="8" t="s">
        <v>492</v>
      </c>
      <c r="G11" s="8" t="s">
        <v>500</v>
      </c>
      <c r="H11" s="8" t="s">
        <v>500</v>
      </c>
      <c r="I11" s="45">
        <f>I12+I15</f>
        <v>329486.78286000004</v>
      </c>
      <c r="J11" s="45">
        <f t="shared" ref="J11:K13" si="1">J12</f>
        <v>0</v>
      </c>
      <c r="K11" s="45">
        <f t="shared" si="1"/>
        <v>0</v>
      </c>
      <c r="L11" s="1"/>
    </row>
    <row r="12" spans="1:12" ht="18.75" customHeight="1" outlineLevel="2" x14ac:dyDescent="0.25">
      <c r="A12" s="18" t="s">
        <v>18</v>
      </c>
      <c r="B12" s="8"/>
      <c r="C12" s="8"/>
      <c r="D12" s="8"/>
      <c r="E12" s="19" t="s">
        <v>233</v>
      </c>
      <c r="F12" s="19" t="s">
        <v>492</v>
      </c>
      <c r="G12" s="19" t="s">
        <v>500</v>
      </c>
      <c r="H12" s="19" t="s">
        <v>500</v>
      </c>
      <c r="I12" s="46">
        <f>I13</f>
        <v>86664.639999999999</v>
      </c>
      <c r="J12" s="46">
        <f t="shared" si="1"/>
        <v>0</v>
      </c>
      <c r="K12" s="46">
        <f t="shared" si="1"/>
        <v>0</v>
      </c>
      <c r="L12" s="1"/>
    </row>
    <row r="13" spans="1:12" ht="47.25" outlineLevel="3" x14ac:dyDescent="0.25">
      <c r="A13" s="18" t="s">
        <v>19</v>
      </c>
      <c r="B13" s="8"/>
      <c r="C13" s="8"/>
      <c r="D13" s="8"/>
      <c r="E13" s="19" t="s">
        <v>234</v>
      </c>
      <c r="F13" s="19" t="s">
        <v>492</v>
      </c>
      <c r="G13" s="19" t="s">
        <v>500</v>
      </c>
      <c r="H13" s="19" t="s">
        <v>500</v>
      </c>
      <c r="I13" s="46">
        <f>I14</f>
        <v>86664.639999999999</v>
      </c>
      <c r="J13" s="46">
        <f t="shared" si="1"/>
        <v>0</v>
      </c>
      <c r="K13" s="46">
        <f t="shared" si="1"/>
        <v>0</v>
      </c>
      <c r="L13" s="1"/>
    </row>
    <row r="14" spans="1:12" ht="47.25" outlineLevel="4" x14ac:dyDescent="0.25">
      <c r="A14" s="18" t="s">
        <v>20</v>
      </c>
      <c r="B14" s="8"/>
      <c r="C14" s="8"/>
      <c r="D14" s="8"/>
      <c r="E14" s="19" t="s">
        <v>234</v>
      </c>
      <c r="F14" s="19" t="s">
        <v>493</v>
      </c>
      <c r="G14" s="19" t="s">
        <v>501</v>
      </c>
      <c r="H14" s="19" t="s">
        <v>502</v>
      </c>
      <c r="I14" s="46">
        <f>86664.6+0.04</f>
        <v>86664.639999999999</v>
      </c>
      <c r="J14" s="46">
        <v>0</v>
      </c>
      <c r="K14" s="46">
        <v>0</v>
      </c>
      <c r="L14" s="1"/>
    </row>
    <row r="15" spans="1:12" ht="47.25" outlineLevel="4" x14ac:dyDescent="0.25">
      <c r="A15" s="18" t="s">
        <v>624</v>
      </c>
      <c r="B15" s="8"/>
      <c r="C15" s="8"/>
      <c r="D15" s="8"/>
      <c r="E15" s="33" t="s">
        <v>621</v>
      </c>
      <c r="F15" s="33" t="s">
        <v>492</v>
      </c>
      <c r="G15" s="33" t="s">
        <v>500</v>
      </c>
      <c r="H15" s="33" t="s">
        <v>500</v>
      </c>
      <c r="I15" s="46">
        <f>I16</f>
        <v>242822.14286000002</v>
      </c>
      <c r="J15" s="46">
        <f t="shared" ref="J15:K16" si="2">J16</f>
        <v>0</v>
      </c>
      <c r="K15" s="46">
        <f t="shared" si="2"/>
        <v>0</v>
      </c>
      <c r="L15" s="1"/>
    </row>
    <row r="16" spans="1:12" ht="63" outlineLevel="4" x14ac:dyDescent="0.25">
      <c r="A16" s="40" t="s">
        <v>623</v>
      </c>
      <c r="B16" s="34"/>
      <c r="C16" s="8"/>
      <c r="D16" s="8"/>
      <c r="E16" s="33" t="s">
        <v>622</v>
      </c>
      <c r="F16" s="33" t="s">
        <v>492</v>
      </c>
      <c r="G16" s="33" t="s">
        <v>500</v>
      </c>
      <c r="H16" s="33" t="s">
        <v>500</v>
      </c>
      <c r="I16" s="46">
        <f>I17</f>
        <v>242822.14286000002</v>
      </c>
      <c r="J16" s="46">
        <f t="shared" si="2"/>
        <v>0</v>
      </c>
      <c r="K16" s="46">
        <f t="shared" si="2"/>
        <v>0</v>
      </c>
      <c r="L16" s="1"/>
    </row>
    <row r="17" spans="1:12" ht="48.75" customHeight="1" outlineLevel="4" x14ac:dyDescent="0.25">
      <c r="A17" s="18" t="s">
        <v>36</v>
      </c>
      <c r="B17" s="8"/>
      <c r="C17" s="8"/>
      <c r="D17" s="8"/>
      <c r="E17" s="33" t="s">
        <v>622</v>
      </c>
      <c r="F17" s="33">
        <v>600</v>
      </c>
      <c r="G17" s="33" t="s">
        <v>506</v>
      </c>
      <c r="H17" s="33" t="s">
        <v>507</v>
      </c>
      <c r="I17" s="46">
        <f>247818.46939-4996.32653</f>
        <v>242822.14286000002</v>
      </c>
      <c r="J17" s="46">
        <v>0</v>
      </c>
      <c r="K17" s="46">
        <v>0</v>
      </c>
      <c r="L17" s="1"/>
    </row>
    <row r="18" spans="1:12" ht="35.25" customHeight="1" outlineLevel="3" x14ac:dyDescent="0.25">
      <c r="A18" s="32" t="s">
        <v>21</v>
      </c>
      <c r="B18" s="8"/>
      <c r="C18" s="8"/>
      <c r="D18" s="8"/>
      <c r="E18" s="8" t="s">
        <v>235</v>
      </c>
      <c r="F18" s="8" t="s">
        <v>492</v>
      </c>
      <c r="G18" s="8" t="s">
        <v>500</v>
      </c>
      <c r="H18" s="8" t="s">
        <v>500</v>
      </c>
      <c r="I18" s="45">
        <f>I24+I29+I34+I19+I40</f>
        <v>146720.44999999998</v>
      </c>
      <c r="J18" s="45">
        <f>J24+J34+J19+J37+J29</f>
        <v>81268.513549999989</v>
      </c>
      <c r="K18" s="45">
        <f>K24+K19</f>
        <v>48260.468000000001</v>
      </c>
      <c r="L18" s="1"/>
    </row>
    <row r="19" spans="1:12" ht="51" customHeight="1" outlineLevel="3" x14ac:dyDescent="0.25">
      <c r="A19" s="18" t="s">
        <v>602</v>
      </c>
      <c r="B19" s="19"/>
      <c r="C19" s="19"/>
      <c r="D19" s="19"/>
      <c r="E19" s="33" t="s">
        <v>600</v>
      </c>
      <c r="F19" s="19" t="s">
        <v>492</v>
      </c>
      <c r="G19" s="19" t="s">
        <v>500</v>
      </c>
      <c r="H19" s="19" t="s">
        <v>500</v>
      </c>
      <c r="I19" s="46">
        <f>I20+I22</f>
        <v>132850.79999999999</v>
      </c>
      <c r="J19" s="46">
        <f>J20+J22</f>
        <v>27895.1</v>
      </c>
      <c r="K19" s="46">
        <f>K20+K22</f>
        <v>33696.1</v>
      </c>
      <c r="L19" s="1"/>
    </row>
    <row r="20" spans="1:12" ht="67.5" customHeight="1" outlineLevel="3" x14ac:dyDescent="0.25">
      <c r="A20" s="18" t="s">
        <v>50</v>
      </c>
      <c r="B20" s="8"/>
      <c r="C20" s="8"/>
      <c r="D20" s="8"/>
      <c r="E20" s="33" t="s">
        <v>601</v>
      </c>
      <c r="F20" s="19" t="s">
        <v>492</v>
      </c>
      <c r="G20" s="19" t="s">
        <v>500</v>
      </c>
      <c r="H20" s="19" t="s">
        <v>500</v>
      </c>
      <c r="I20" s="46">
        <f>I21</f>
        <v>115580</v>
      </c>
      <c r="J20" s="46">
        <f t="shared" ref="J20:K20" si="3">J21</f>
        <v>22075</v>
      </c>
      <c r="K20" s="46">
        <f t="shared" si="3"/>
        <v>27876</v>
      </c>
      <c r="L20" s="1"/>
    </row>
    <row r="21" spans="1:12" ht="50.25" customHeight="1" outlineLevel="3" x14ac:dyDescent="0.25">
      <c r="A21" s="18" t="s">
        <v>36</v>
      </c>
      <c r="B21" s="8"/>
      <c r="C21" s="8"/>
      <c r="D21" s="8"/>
      <c r="E21" s="33" t="s">
        <v>601</v>
      </c>
      <c r="F21" s="33" t="s">
        <v>497</v>
      </c>
      <c r="G21" s="33" t="s">
        <v>506</v>
      </c>
      <c r="H21" s="33" t="s">
        <v>509</v>
      </c>
      <c r="I21" s="46">
        <f>59580+36000+20000</f>
        <v>115580</v>
      </c>
      <c r="J21" s="46">
        <f>38950-16875</f>
        <v>22075</v>
      </c>
      <c r="K21" s="46">
        <f>38950-11074</f>
        <v>27876</v>
      </c>
      <c r="L21" s="1"/>
    </row>
    <row r="22" spans="1:12" ht="64.5" customHeight="1" outlineLevel="3" x14ac:dyDescent="0.25">
      <c r="A22" s="18" t="s">
        <v>50</v>
      </c>
      <c r="B22" s="8"/>
      <c r="C22" s="8"/>
      <c r="D22" s="8"/>
      <c r="E22" s="33" t="s">
        <v>603</v>
      </c>
      <c r="F22" s="19" t="s">
        <v>492</v>
      </c>
      <c r="G22" s="19" t="s">
        <v>500</v>
      </c>
      <c r="H22" s="19" t="s">
        <v>500</v>
      </c>
      <c r="I22" s="46">
        <f>I23</f>
        <v>17270.8</v>
      </c>
      <c r="J22" s="46">
        <f t="shared" ref="J22:K22" si="4">J23</f>
        <v>5820.1</v>
      </c>
      <c r="K22" s="46">
        <f t="shared" si="4"/>
        <v>5820.1</v>
      </c>
      <c r="L22" s="1"/>
    </row>
    <row r="23" spans="1:12" ht="50.25" customHeight="1" outlineLevel="3" x14ac:dyDescent="0.25">
      <c r="A23" s="18" t="s">
        <v>36</v>
      </c>
      <c r="B23" s="8"/>
      <c r="C23" s="8"/>
      <c r="D23" s="8"/>
      <c r="E23" s="33" t="s">
        <v>603</v>
      </c>
      <c r="F23" s="33" t="s">
        <v>497</v>
      </c>
      <c r="G23" s="33" t="s">
        <v>506</v>
      </c>
      <c r="H23" s="33" t="s">
        <v>509</v>
      </c>
      <c r="I23" s="46">
        <f>8902.8+5379.4+2988.6</f>
        <v>17270.8</v>
      </c>
      <c r="J23" s="46">
        <v>5820.1</v>
      </c>
      <c r="K23" s="46">
        <v>5820.1</v>
      </c>
      <c r="L23" s="1"/>
    </row>
    <row r="24" spans="1:12" ht="36.75" customHeight="1" outlineLevel="4" x14ac:dyDescent="0.25">
      <c r="A24" s="18" t="s">
        <v>22</v>
      </c>
      <c r="B24" s="8"/>
      <c r="C24" s="8"/>
      <c r="D24" s="8"/>
      <c r="E24" s="19" t="s">
        <v>236</v>
      </c>
      <c r="F24" s="19" t="s">
        <v>492</v>
      </c>
      <c r="G24" s="19" t="s">
        <v>500</v>
      </c>
      <c r="H24" s="19" t="s">
        <v>500</v>
      </c>
      <c r="I24" s="46">
        <f>I25+I27</f>
        <v>2023.35</v>
      </c>
      <c r="J24" s="46">
        <f>J27+J25</f>
        <v>28380.400000000001</v>
      </c>
      <c r="K24" s="46">
        <f>K27+K25</f>
        <v>14564.368</v>
      </c>
      <c r="L24" s="1"/>
    </row>
    <row r="25" spans="1:12" ht="113.25" customHeight="1" outlineLevel="4" x14ac:dyDescent="0.25">
      <c r="A25" s="18" t="s">
        <v>23</v>
      </c>
      <c r="B25" s="8"/>
      <c r="C25" s="8"/>
      <c r="D25" s="8"/>
      <c r="E25" s="33" t="s">
        <v>557</v>
      </c>
      <c r="F25" s="19" t="s">
        <v>492</v>
      </c>
      <c r="G25" s="19" t="s">
        <v>500</v>
      </c>
      <c r="H25" s="19" t="s">
        <v>500</v>
      </c>
      <c r="I25" s="46">
        <f>I26</f>
        <v>0</v>
      </c>
      <c r="J25" s="46">
        <f t="shared" ref="J25:K25" si="5">J26</f>
        <v>24690.9</v>
      </c>
      <c r="K25" s="46">
        <f t="shared" si="5"/>
        <v>12671</v>
      </c>
      <c r="L25" s="1"/>
    </row>
    <row r="26" spans="1:12" ht="51" customHeight="1" outlineLevel="4" x14ac:dyDescent="0.25">
      <c r="A26" s="18" t="s">
        <v>20</v>
      </c>
      <c r="B26" s="8"/>
      <c r="C26" s="8"/>
      <c r="D26" s="8"/>
      <c r="E26" s="33" t="s">
        <v>557</v>
      </c>
      <c r="F26" s="19">
        <v>400</v>
      </c>
      <c r="G26" s="19" t="s">
        <v>501</v>
      </c>
      <c r="H26" s="19" t="s">
        <v>502</v>
      </c>
      <c r="I26" s="46">
        <v>0</v>
      </c>
      <c r="J26" s="46">
        <v>24690.9</v>
      </c>
      <c r="K26" s="46">
        <v>12671</v>
      </c>
      <c r="L26" s="1"/>
    </row>
    <row r="27" spans="1:12" ht="114.75" customHeight="1" outlineLevel="5" x14ac:dyDescent="0.25">
      <c r="A27" s="18" t="s">
        <v>23</v>
      </c>
      <c r="B27" s="8"/>
      <c r="C27" s="8"/>
      <c r="D27" s="8"/>
      <c r="E27" s="19" t="s">
        <v>237</v>
      </c>
      <c r="F27" s="19" t="s">
        <v>492</v>
      </c>
      <c r="G27" s="19" t="s">
        <v>500</v>
      </c>
      <c r="H27" s="19" t="s">
        <v>500</v>
      </c>
      <c r="I27" s="46">
        <f>I28</f>
        <v>2023.35</v>
      </c>
      <c r="J27" s="46">
        <f t="shared" ref="J27:K27" si="6">J28</f>
        <v>3689.5</v>
      </c>
      <c r="K27" s="46">
        <f t="shared" si="6"/>
        <v>1893.3679999999999</v>
      </c>
      <c r="L27" s="1"/>
    </row>
    <row r="28" spans="1:12" ht="47.25" outlineLevel="6" x14ac:dyDescent="0.25">
      <c r="A28" s="18" t="s">
        <v>20</v>
      </c>
      <c r="B28" s="8"/>
      <c r="C28" s="8"/>
      <c r="D28" s="8"/>
      <c r="E28" s="19" t="s">
        <v>237</v>
      </c>
      <c r="F28" s="19">
        <v>400</v>
      </c>
      <c r="G28" s="19" t="s">
        <v>501</v>
      </c>
      <c r="H28" s="19" t="s">
        <v>502</v>
      </c>
      <c r="I28" s="46">
        <f>2100-76.65</f>
        <v>2023.35</v>
      </c>
      <c r="J28" s="46">
        <v>3689.5</v>
      </c>
      <c r="K28" s="46">
        <v>1893.3679999999999</v>
      </c>
      <c r="L28" s="1"/>
    </row>
    <row r="29" spans="1:12" ht="63" outlineLevel="6" x14ac:dyDescent="0.25">
      <c r="A29" s="18" t="s">
        <v>544</v>
      </c>
      <c r="B29" s="8"/>
      <c r="C29" s="8"/>
      <c r="D29" s="8"/>
      <c r="E29" s="33" t="s">
        <v>542</v>
      </c>
      <c r="F29" s="33" t="s">
        <v>492</v>
      </c>
      <c r="G29" s="33" t="s">
        <v>500</v>
      </c>
      <c r="H29" s="33" t="s">
        <v>500</v>
      </c>
      <c r="I29" s="46">
        <f>I30+I32</f>
        <v>3332.9000000000005</v>
      </c>
      <c r="J29" s="46">
        <f>J30+J32</f>
        <v>356.87830000000002</v>
      </c>
      <c r="K29" s="46">
        <f t="shared" ref="J29:K30" si="7">K30</f>
        <v>0</v>
      </c>
      <c r="L29" s="1"/>
    </row>
    <row r="30" spans="1:12" ht="51" customHeight="1" outlineLevel="6" x14ac:dyDescent="0.25">
      <c r="A30" s="18" t="s">
        <v>545</v>
      </c>
      <c r="B30" s="8"/>
      <c r="C30" s="8"/>
      <c r="D30" s="8"/>
      <c r="E30" s="33" t="s">
        <v>543</v>
      </c>
      <c r="F30" s="33" t="s">
        <v>492</v>
      </c>
      <c r="G30" s="33" t="s">
        <v>500</v>
      </c>
      <c r="H30" s="33" t="s">
        <v>500</v>
      </c>
      <c r="I30" s="46">
        <f>I31</f>
        <v>2899.6000000000004</v>
      </c>
      <c r="J30" s="46">
        <f t="shared" si="7"/>
        <v>0</v>
      </c>
      <c r="K30" s="46">
        <f t="shared" si="7"/>
        <v>0</v>
      </c>
      <c r="L30" s="1"/>
    </row>
    <row r="31" spans="1:12" ht="47.25" outlineLevel="6" x14ac:dyDescent="0.25">
      <c r="A31" s="18" t="s">
        <v>30</v>
      </c>
      <c r="B31" s="8"/>
      <c r="C31" s="8"/>
      <c r="D31" s="8"/>
      <c r="E31" s="33" t="s">
        <v>543</v>
      </c>
      <c r="F31" s="33" t="s">
        <v>495</v>
      </c>
      <c r="G31" s="33" t="s">
        <v>501</v>
      </c>
      <c r="H31" s="33" t="s">
        <v>502</v>
      </c>
      <c r="I31" s="46">
        <f>8528.2-5628.6</f>
        <v>2899.6000000000004</v>
      </c>
      <c r="J31" s="46">
        <v>0</v>
      </c>
      <c r="K31" s="46">
        <v>0</v>
      </c>
      <c r="L31" s="1"/>
    </row>
    <row r="32" spans="1:12" ht="50.25" customHeight="1" outlineLevel="6" x14ac:dyDescent="0.25">
      <c r="A32" s="18" t="s">
        <v>545</v>
      </c>
      <c r="B32" s="8"/>
      <c r="C32" s="8"/>
      <c r="D32" s="8"/>
      <c r="E32" s="33" t="s">
        <v>550</v>
      </c>
      <c r="F32" s="33" t="s">
        <v>492</v>
      </c>
      <c r="G32" s="33" t="s">
        <v>500</v>
      </c>
      <c r="H32" s="33" t="s">
        <v>500</v>
      </c>
      <c r="I32" s="46">
        <f>I33</f>
        <v>433.30000000000007</v>
      </c>
      <c r="J32" s="46">
        <f t="shared" ref="J32:K32" si="8">J33</f>
        <v>356.87830000000002</v>
      </c>
      <c r="K32" s="46">
        <f t="shared" si="8"/>
        <v>0</v>
      </c>
      <c r="L32" s="1"/>
    </row>
    <row r="33" spans="1:12" ht="47.25" outlineLevel="6" x14ac:dyDescent="0.25">
      <c r="A33" s="18" t="s">
        <v>30</v>
      </c>
      <c r="B33" s="8"/>
      <c r="C33" s="8"/>
      <c r="D33" s="8"/>
      <c r="E33" s="33" t="s">
        <v>550</v>
      </c>
      <c r="F33" s="33" t="s">
        <v>495</v>
      </c>
      <c r="G33" s="33" t="s">
        <v>501</v>
      </c>
      <c r="H33" s="33" t="s">
        <v>502</v>
      </c>
      <c r="I33" s="46">
        <f>1274.4-841.1</f>
        <v>433.30000000000007</v>
      </c>
      <c r="J33" s="46">
        <v>356.87830000000002</v>
      </c>
      <c r="K33" s="46">
        <v>0</v>
      </c>
      <c r="L33" s="1"/>
    </row>
    <row r="34" spans="1:12" ht="78.75" outlineLevel="6" x14ac:dyDescent="0.25">
      <c r="A34" s="18" t="s">
        <v>576</v>
      </c>
      <c r="B34" s="8"/>
      <c r="C34" s="8"/>
      <c r="D34" s="8"/>
      <c r="E34" s="19" t="s">
        <v>574</v>
      </c>
      <c r="F34" s="19" t="s">
        <v>492</v>
      </c>
      <c r="G34" s="19" t="s">
        <v>500</v>
      </c>
      <c r="H34" s="19" t="s">
        <v>500</v>
      </c>
      <c r="I34" s="46">
        <f>I35</f>
        <v>2213.4</v>
      </c>
      <c r="J34" s="46">
        <f t="shared" ref="J34:K35" si="9">J35</f>
        <v>4793.0999999999995</v>
      </c>
      <c r="K34" s="46">
        <f t="shared" si="9"/>
        <v>0</v>
      </c>
      <c r="L34" s="1"/>
    </row>
    <row r="35" spans="1:12" ht="110.25" outlineLevel="6" x14ac:dyDescent="0.25">
      <c r="A35" s="18" t="s">
        <v>573</v>
      </c>
      <c r="B35" s="8"/>
      <c r="C35" s="8"/>
      <c r="D35" s="8"/>
      <c r="E35" s="19" t="s">
        <v>575</v>
      </c>
      <c r="F35" s="19" t="s">
        <v>492</v>
      </c>
      <c r="G35" s="19" t="s">
        <v>500</v>
      </c>
      <c r="H35" s="19" t="s">
        <v>500</v>
      </c>
      <c r="I35" s="46">
        <f>I36</f>
        <v>2213.4</v>
      </c>
      <c r="J35" s="46">
        <f t="shared" si="9"/>
        <v>4793.0999999999995</v>
      </c>
      <c r="K35" s="46">
        <f t="shared" si="9"/>
        <v>0</v>
      </c>
      <c r="L35" s="1"/>
    </row>
    <row r="36" spans="1:12" ht="47.25" outlineLevel="6" x14ac:dyDescent="0.25">
      <c r="A36" s="18" t="s">
        <v>30</v>
      </c>
      <c r="B36" s="8"/>
      <c r="C36" s="8"/>
      <c r="D36" s="8"/>
      <c r="E36" s="19" t="s">
        <v>575</v>
      </c>
      <c r="F36" s="33" t="s">
        <v>495</v>
      </c>
      <c r="G36" s="33" t="s">
        <v>501</v>
      </c>
      <c r="H36" s="33" t="s">
        <v>505</v>
      </c>
      <c r="I36" s="46">
        <f>1947.8+265.6</f>
        <v>2213.4</v>
      </c>
      <c r="J36" s="46">
        <f>4217.9+575.2</f>
        <v>4793.0999999999995</v>
      </c>
      <c r="K36" s="46">
        <v>0</v>
      </c>
      <c r="L36" s="1"/>
    </row>
    <row r="37" spans="1:12" ht="63" outlineLevel="6" x14ac:dyDescent="0.25">
      <c r="A37" s="18" t="s">
        <v>647</v>
      </c>
      <c r="B37" s="8"/>
      <c r="C37" s="8"/>
      <c r="D37" s="8"/>
      <c r="E37" s="33" t="s">
        <v>646</v>
      </c>
      <c r="F37" s="33" t="s">
        <v>492</v>
      </c>
      <c r="G37" s="33" t="s">
        <v>500</v>
      </c>
      <c r="H37" s="33" t="s">
        <v>500</v>
      </c>
      <c r="I37" s="46">
        <f>I38</f>
        <v>0</v>
      </c>
      <c r="J37" s="46">
        <f t="shared" ref="J37:K38" si="10">J38</f>
        <v>19843.035250000001</v>
      </c>
      <c r="K37" s="46">
        <f t="shared" si="10"/>
        <v>0</v>
      </c>
      <c r="L37" s="1"/>
    </row>
    <row r="38" spans="1:12" ht="63" outlineLevel="6" x14ac:dyDescent="0.25">
      <c r="A38" s="18" t="s">
        <v>648</v>
      </c>
      <c r="B38" s="8"/>
      <c r="C38" s="8"/>
      <c r="D38" s="8"/>
      <c r="E38" s="33" t="s">
        <v>645</v>
      </c>
      <c r="F38" s="33" t="s">
        <v>492</v>
      </c>
      <c r="G38" s="33" t="s">
        <v>500</v>
      </c>
      <c r="H38" s="33" t="s">
        <v>500</v>
      </c>
      <c r="I38" s="46">
        <f>I39</f>
        <v>0</v>
      </c>
      <c r="J38" s="46">
        <f t="shared" si="10"/>
        <v>19843.035250000001</v>
      </c>
      <c r="K38" s="46">
        <f t="shared" si="10"/>
        <v>0</v>
      </c>
      <c r="L38" s="1"/>
    </row>
    <row r="39" spans="1:12" ht="47.25" outlineLevel="6" x14ac:dyDescent="0.25">
      <c r="A39" s="18" t="s">
        <v>20</v>
      </c>
      <c r="B39" s="8"/>
      <c r="C39" s="8"/>
      <c r="D39" s="8"/>
      <c r="E39" s="33" t="s">
        <v>645</v>
      </c>
      <c r="F39" s="33" t="s">
        <v>493</v>
      </c>
      <c r="G39" s="33" t="s">
        <v>501</v>
      </c>
      <c r="H39" s="33" t="s">
        <v>502</v>
      </c>
      <c r="I39" s="46">
        <v>0</v>
      </c>
      <c r="J39" s="46">
        <v>19843.035250000001</v>
      </c>
      <c r="K39" s="46">
        <v>0</v>
      </c>
      <c r="L39" s="1"/>
    </row>
    <row r="40" spans="1:12" ht="51.75" customHeight="1" outlineLevel="6" x14ac:dyDescent="0.25">
      <c r="A40" s="18" t="s">
        <v>681</v>
      </c>
      <c r="B40" s="8"/>
      <c r="C40" s="8"/>
      <c r="D40" s="8"/>
      <c r="E40" s="33" t="s">
        <v>691</v>
      </c>
      <c r="F40" s="33" t="s">
        <v>492</v>
      </c>
      <c r="G40" s="33" t="s">
        <v>500</v>
      </c>
      <c r="H40" s="33" t="s">
        <v>500</v>
      </c>
      <c r="I40" s="46">
        <f>I41+I43</f>
        <v>6300</v>
      </c>
      <c r="J40" s="46">
        <f t="shared" ref="J40:K41" si="11">J41</f>
        <v>0</v>
      </c>
      <c r="K40" s="46">
        <f t="shared" si="11"/>
        <v>0</v>
      </c>
      <c r="L40" s="1"/>
    </row>
    <row r="41" spans="1:12" ht="47.25" outlineLevel="6" x14ac:dyDescent="0.25">
      <c r="A41" s="18" t="s">
        <v>682</v>
      </c>
      <c r="B41" s="8"/>
      <c r="C41" s="8"/>
      <c r="D41" s="8"/>
      <c r="E41" s="33" t="s">
        <v>692</v>
      </c>
      <c r="F41" s="33" t="s">
        <v>492</v>
      </c>
      <c r="G41" s="33" t="s">
        <v>500</v>
      </c>
      <c r="H41" s="33" t="s">
        <v>500</v>
      </c>
      <c r="I41" s="46">
        <f>I42</f>
        <v>6300</v>
      </c>
      <c r="J41" s="46">
        <f t="shared" si="11"/>
        <v>0</v>
      </c>
      <c r="K41" s="46">
        <f t="shared" si="11"/>
        <v>0</v>
      </c>
      <c r="L41" s="1"/>
    </row>
    <row r="42" spans="1:12" ht="51" customHeight="1" outlineLevel="6" x14ac:dyDescent="0.25">
      <c r="A42" s="18" t="s">
        <v>36</v>
      </c>
      <c r="B42" s="8"/>
      <c r="C42" s="8"/>
      <c r="D42" s="8"/>
      <c r="E42" s="33" t="s">
        <v>692</v>
      </c>
      <c r="F42" s="33" t="s">
        <v>497</v>
      </c>
      <c r="G42" s="33" t="s">
        <v>506</v>
      </c>
      <c r="H42" s="33" t="s">
        <v>507</v>
      </c>
      <c r="I42" s="46">
        <v>6300</v>
      </c>
      <c r="J42" s="46">
        <v>0</v>
      </c>
      <c r="K42" s="46">
        <v>0</v>
      </c>
      <c r="L42" s="1"/>
    </row>
    <row r="43" spans="1:12" ht="51" hidden="1" customHeight="1" outlineLevel="6" x14ac:dyDescent="0.25">
      <c r="A43" s="18" t="s">
        <v>682</v>
      </c>
      <c r="B43" s="8"/>
      <c r="C43" s="8"/>
      <c r="D43" s="8"/>
      <c r="E43" s="33" t="s">
        <v>693</v>
      </c>
      <c r="F43" s="33" t="s">
        <v>492</v>
      </c>
      <c r="G43" s="33" t="s">
        <v>500</v>
      </c>
      <c r="H43" s="33" t="s">
        <v>500</v>
      </c>
      <c r="I43" s="46">
        <f>I44</f>
        <v>0</v>
      </c>
      <c r="J43" s="46">
        <f t="shared" ref="J43:K43" si="12">J44</f>
        <v>0</v>
      </c>
      <c r="K43" s="46">
        <f t="shared" si="12"/>
        <v>0</v>
      </c>
      <c r="L43" s="1"/>
    </row>
    <row r="44" spans="1:12" ht="51" hidden="1" customHeight="1" outlineLevel="6" x14ac:dyDescent="0.25">
      <c r="A44" s="18" t="s">
        <v>36</v>
      </c>
      <c r="B44" s="8"/>
      <c r="C44" s="8"/>
      <c r="D44" s="8"/>
      <c r="E44" s="33" t="s">
        <v>693</v>
      </c>
      <c r="F44" s="33" t="s">
        <v>497</v>
      </c>
      <c r="G44" s="33" t="s">
        <v>506</v>
      </c>
      <c r="H44" s="33" t="s">
        <v>507</v>
      </c>
      <c r="I44" s="46">
        <v>0</v>
      </c>
      <c r="J44" s="46">
        <v>0</v>
      </c>
      <c r="K44" s="46">
        <v>0</v>
      </c>
      <c r="L44" s="1"/>
    </row>
    <row r="45" spans="1:12" ht="18.75" customHeight="1" outlineLevel="5" collapsed="1" x14ac:dyDescent="0.25">
      <c r="A45" s="32" t="s">
        <v>24</v>
      </c>
      <c r="B45" s="8"/>
      <c r="C45" s="8"/>
      <c r="D45" s="8"/>
      <c r="E45" s="8" t="s">
        <v>238</v>
      </c>
      <c r="F45" s="8" t="s">
        <v>492</v>
      </c>
      <c r="G45" s="8" t="s">
        <v>500</v>
      </c>
      <c r="H45" s="8" t="s">
        <v>500</v>
      </c>
      <c r="I45" s="45">
        <f>I46+I61+I69+I80+I83+I92+I75+I104</f>
        <v>277755.17142000003</v>
      </c>
      <c r="J45" s="45">
        <f>J46+J61+J69+J80+J83+J92</f>
        <v>152568.55644999997</v>
      </c>
      <c r="K45" s="45">
        <f>K46+K61+K69+K80+K83+K92</f>
        <v>179381.4</v>
      </c>
      <c r="L45" s="1"/>
    </row>
    <row r="46" spans="1:12" ht="51.75" customHeight="1" outlineLevel="6" x14ac:dyDescent="0.25">
      <c r="A46" s="18" t="s">
        <v>25</v>
      </c>
      <c r="B46" s="8"/>
      <c r="C46" s="8"/>
      <c r="D46" s="8"/>
      <c r="E46" s="19" t="s">
        <v>239</v>
      </c>
      <c r="F46" s="19" t="s">
        <v>492</v>
      </c>
      <c r="G46" s="19" t="s">
        <v>500</v>
      </c>
      <c r="H46" s="19" t="s">
        <v>500</v>
      </c>
      <c r="I46" s="46">
        <f>I47+I52+I54+I57</f>
        <v>34848.246080000004</v>
      </c>
      <c r="J46" s="46">
        <f t="shared" ref="J46:K46" si="13">J47+J52+J54+J57</f>
        <v>25666.5</v>
      </c>
      <c r="K46" s="46">
        <f t="shared" si="13"/>
        <v>25666.5</v>
      </c>
      <c r="L46" s="1"/>
    </row>
    <row r="47" spans="1:12" ht="51.75" customHeight="1" outlineLevel="2" x14ac:dyDescent="0.25">
      <c r="A47" s="18" t="s">
        <v>26</v>
      </c>
      <c r="B47" s="8"/>
      <c r="C47" s="8"/>
      <c r="D47" s="8"/>
      <c r="E47" s="19" t="s">
        <v>240</v>
      </c>
      <c r="F47" s="19" t="s">
        <v>492</v>
      </c>
      <c r="G47" s="19" t="s">
        <v>500</v>
      </c>
      <c r="H47" s="19" t="s">
        <v>500</v>
      </c>
      <c r="I47" s="46">
        <f>I48+I49+I50+I51</f>
        <v>13969.55</v>
      </c>
      <c r="J47" s="46">
        <f t="shared" ref="J47:K47" si="14">J48+J49+J50+J51</f>
        <v>12905.4</v>
      </c>
      <c r="K47" s="46">
        <f t="shared" si="14"/>
        <v>12905.4</v>
      </c>
      <c r="L47" s="20"/>
    </row>
    <row r="48" spans="1:12" ht="112.5" customHeight="1" outlineLevel="3" x14ac:dyDescent="0.25">
      <c r="A48" s="18" t="s">
        <v>27</v>
      </c>
      <c r="B48" s="8"/>
      <c r="C48" s="8"/>
      <c r="D48" s="8"/>
      <c r="E48" s="19" t="s">
        <v>240</v>
      </c>
      <c r="F48" s="19" t="s">
        <v>494</v>
      </c>
      <c r="G48" s="19" t="s">
        <v>503</v>
      </c>
      <c r="H48" s="19" t="s">
        <v>504</v>
      </c>
      <c r="I48" s="46">
        <f>4719-277.85</f>
        <v>4441.1499999999996</v>
      </c>
      <c r="J48" s="46">
        <v>4719</v>
      </c>
      <c r="K48" s="46">
        <v>4719</v>
      </c>
      <c r="L48" s="1"/>
    </row>
    <row r="49" spans="1:12" ht="112.5" customHeight="1" outlineLevel="5" x14ac:dyDescent="0.25">
      <c r="A49" s="18" t="s">
        <v>27</v>
      </c>
      <c r="B49" s="8"/>
      <c r="C49" s="8"/>
      <c r="D49" s="8"/>
      <c r="E49" s="19" t="s">
        <v>240</v>
      </c>
      <c r="F49" s="19" t="s">
        <v>494</v>
      </c>
      <c r="G49" s="19" t="s">
        <v>501</v>
      </c>
      <c r="H49" s="19" t="s">
        <v>501</v>
      </c>
      <c r="I49" s="46">
        <f>7745+456.1787+759.6213+126.3</f>
        <v>9087.1</v>
      </c>
      <c r="J49" s="46">
        <v>7745.1</v>
      </c>
      <c r="K49" s="46">
        <v>7745.1</v>
      </c>
      <c r="L49" s="1"/>
    </row>
    <row r="50" spans="1:12" ht="47.25" outlineLevel="4" x14ac:dyDescent="0.25">
      <c r="A50" s="18" t="s">
        <v>30</v>
      </c>
      <c r="B50" s="8"/>
      <c r="C50" s="8"/>
      <c r="D50" s="8"/>
      <c r="E50" s="19" t="s">
        <v>240</v>
      </c>
      <c r="F50" s="19" t="s">
        <v>495</v>
      </c>
      <c r="G50" s="19" t="s">
        <v>503</v>
      </c>
      <c r="H50" s="19" t="s">
        <v>504</v>
      </c>
      <c r="I50" s="46">
        <v>84</v>
      </c>
      <c r="J50" s="46">
        <v>84</v>
      </c>
      <c r="K50" s="46">
        <v>84</v>
      </c>
      <c r="L50" s="1"/>
    </row>
    <row r="51" spans="1:12" ht="47.25" outlineLevel="6" x14ac:dyDescent="0.25">
      <c r="A51" s="18" t="s">
        <v>30</v>
      </c>
      <c r="B51" s="8"/>
      <c r="C51" s="8"/>
      <c r="D51" s="8"/>
      <c r="E51" s="19" t="s">
        <v>240</v>
      </c>
      <c r="F51" s="19" t="s">
        <v>495</v>
      </c>
      <c r="G51" s="19" t="s">
        <v>501</v>
      </c>
      <c r="H51" s="19" t="s">
        <v>501</v>
      </c>
      <c r="I51" s="46">
        <v>357.3</v>
      </c>
      <c r="J51" s="46">
        <v>357.3</v>
      </c>
      <c r="K51" s="46">
        <v>357.3</v>
      </c>
      <c r="L51" s="1"/>
    </row>
    <row r="52" spans="1:12" ht="110.25" outlineLevel="6" x14ac:dyDescent="0.25">
      <c r="A52" s="18" t="s">
        <v>520</v>
      </c>
      <c r="B52" s="8"/>
      <c r="C52" s="8"/>
      <c r="D52" s="8"/>
      <c r="E52" s="33" t="s">
        <v>519</v>
      </c>
      <c r="F52" s="19" t="s">
        <v>492</v>
      </c>
      <c r="G52" s="19" t="s">
        <v>500</v>
      </c>
      <c r="H52" s="19" t="s">
        <v>500</v>
      </c>
      <c r="I52" s="46">
        <f>I53</f>
        <v>3299.8303800000012</v>
      </c>
      <c r="J52" s="46">
        <f t="shared" ref="J52:K52" si="15">J53</f>
        <v>0</v>
      </c>
      <c r="K52" s="46">
        <f t="shared" si="15"/>
        <v>0</v>
      </c>
      <c r="L52" s="1"/>
    </row>
    <row r="53" spans="1:12" ht="31.5" outlineLevel="6" x14ac:dyDescent="0.25">
      <c r="A53" s="18" t="s">
        <v>45</v>
      </c>
      <c r="B53" s="8"/>
      <c r="C53" s="8"/>
      <c r="D53" s="8"/>
      <c r="E53" s="33" t="s">
        <v>519</v>
      </c>
      <c r="F53" s="19">
        <v>300</v>
      </c>
      <c r="G53" s="19">
        <v>10</v>
      </c>
      <c r="H53" s="33" t="s">
        <v>505</v>
      </c>
      <c r="I53" s="46">
        <f>23897+6440-16018.95754-306.29943-2988.6+2988.6-141.91265-4170-3300-1100-2000</f>
        <v>3299.8303800000012</v>
      </c>
      <c r="J53" s="46">
        <v>0</v>
      </c>
      <c r="K53" s="46">
        <v>0</v>
      </c>
      <c r="L53" s="1"/>
    </row>
    <row r="54" spans="1:12" ht="47.25" outlineLevel="5" x14ac:dyDescent="0.25">
      <c r="A54" s="18" t="s">
        <v>31</v>
      </c>
      <c r="B54" s="8"/>
      <c r="C54" s="8"/>
      <c r="D54" s="8"/>
      <c r="E54" s="19" t="s">
        <v>241</v>
      </c>
      <c r="F54" s="19" t="s">
        <v>492</v>
      </c>
      <c r="G54" s="19" t="s">
        <v>500</v>
      </c>
      <c r="H54" s="19" t="s">
        <v>500</v>
      </c>
      <c r="I54" s="46">
        <f>I55+I56</f>
        <v>6554.5100000000011</v>
      </c>
      <c r="J54" s="46">
        <f t="shared" ref="J54:K54" si="16">J55+J56</f>
        <v>6323.4000000000005</v>
      </c>
      <c r="K54" s="46">
        <f t="shared" si="16"/>
        <v>6323.4000000000005</v>
      </c>
      <c r="L54" s="20"/>
    </row>
    <row r="55" spans="1:12" ht="110.25" customHeight="1" outlineLevel="6" x14ac:dyDescent="0.25">
      <c r="A55" s="18" t="s">
        <v>27</v>
      </c>
      <c r="B55" s="8"/>
      <c r="C55" s="8"/>
      <c r="D55" s="8"/>
      <c r="E55" s="19" t="s">
        <v>241</v>
      </c>
      <c r="F55" s="19" t="s">
        <v>494</v>
      </c>
      <c r="G55" s="19" t="s">
        <v>501</v>
      </c>
      <c r="H55" s="19" t="s">
        <v>501</v>
      </c>
      <c r="I55" s="46">
        <f>5911.6+147.81+83.3</f>
        <v>6142.7100000000009</v>
      </c>
      <c r="J55" s="46">
        <v>5911.6</v>
      </c>
      <c r="K55" s="46">
        <v>5911.6</v>
      </c>
      <c r="L55" s="1"/>
    </row>
    <row r="56" spans="1:12" ht="47.25" outlineLevel="4" x14ac:dyDescent="0.25">
      <c r="A56" s="18" t="s">
        <v>30</v>
      </c>
      <c r="B56" s="8"/>
      <c r="C56" s="8"/>
      <c r="D56" s="8"/>
      <c r="E56" s="19" t="s">
        <v>241</v>
      </c>
      <c r="F56" s="19" t="s">
        <v>495</v>
      </c>
      <c r="G56" s="19" t="s">
        <v>501</v>
      </c>
      <c r="H56" s="19" t="s">
        <v>501</v>
      </c>
      <c r="I56" s="46">
        <v>411.8</v>
      </c>
      <c r="J56" s="46">
        <v>411.8</v>
      </c>
      <c r="K56" s="46">
        <v>411.8</v>
      </c>
      <c r="L56" s="1"/>
    </row>
    <row r="57" spans="1:12" ht="63" outlineLevel="3" x14ac:dyDescent="0.25">
      <c r="A57" s="18" t="s">
        <v>32</v>
      </c>
      <c r="B57" s="8"/>
      <c r="C57" s="8"/>
      <c r="D57" s="8"/>
      <c r="E57" s="19" t="s">
        <v>242</v>
      </c>
      <c r="F57" s="19" t="s">
        <v>492</v>
      </c>
      <c r="G57" s="19" t="s">
        <v>500</v>
      </c>
      <c r="H57" s="19" t="s">
        <v>500</v>
      </c>
      <c r="I57" s="46">
        <f>I58+I59+I60</f>
        <v>11024.3557</v>
      </c>
      <c r="J57" s="46">
        <f t="shared" ref="J57:K57" si="17">J58+J59+J60</f>
        <v>6437.7</v>
      </c>
      <c r="K57" s="46">
        <f t="shared" si="17"/>
        <v>6437.7</v>
      </c>
      <c r="L57" s="20"/>
    </row>
    <row r="58" spans="1:12" ht="111.75" customHeight="1" outlineLevel="4" x14ac:dyDescent="0.25">
      <c r="A58" s="18" t="s">
        <v>27</v>
      </c>
      <c r="B58" s="8"/>
      <c r="C58" s="8"/>
      <c r="D58" s="8"/>
      <c r="E58" s="19" t="s">
        <v>242</v>
      </c>
      <c r="F58" s="19" t="s">
        <v>494</v>
      </c>
      <c r="G58" s="19" t="s">
        <v>501</v>
      </c>
      <c r="H58" s="19" t="s">
        <v>501</v>
      </c>
      <c r="I58" s="46">
        <f>5615.4+217.2-8+2276.84+111.4+1484.6+442</f>
        <v>10139.44</v>
      </c>
      <c r="J58" s="46">
        <v>5615.4</v>
      </c>
      <c r="K58" s="46">
        <v>5615.4</v>
      </c>
      <c r="L58" s="1"/>
    </row>
    <row r="59" spans="1:12" ht="51.75" customHeight="1" outlineLevel="3" x14ac:dyDescent="0.25">
      <c r="A59" s="18" t="s">
        <v>30</v>
      </c>
      <c r="B59" s="8"/>
      <c r="C59" s="8"/>
      <c r="D59" s="8"/>
      <c r="E59" s="19" t="s">
        <v>242</v>
      </c>
      <c r="F59" s="19" t="s">
        <v>495</v>
      </c>
      <c r="G59" s="19" t="s">
        <v>501</v>
      </c>
      <c r="H59" s="19" t="s">
        <v>501</v>
      </c>
      <c r="I59" s="46">
        <f>724.8-0.14-108.4253+8+5+111.029+52.152</f>
        <v>792.41570000000002</v>
      </c>
      <c r="J59" s="46">
        <v>724.8</v>
      </c>
      <c r="K59" s="46">
        <v>724.8</v>
      </c>
      <c r="L59" s="1"/>
    </row>
    <row r="60" spans="1:12" ht="15.75" outlineLevel="6" x14ac:dyDescent="0.25">
      <c r="A60" s="18" t="s">
        <v>33</v>
      </c>
      <c r="B60" s="8"/>
      <c r="C60" s="8"/>
      <c r="D60" s="8"/>
      <c r="E60" s="19" t="s">
        <v>242</v>
      </c>
      <c r="F60" s="19" t="s">
        <v>496</v>
      </c>
      <c r="G60" s="19" t="s">
        <v>501</v>
      </c>
      <c r="H60" s="19" t="s">
        <v>501</v>
      </c>
      <c r="I60" s="46">
        <f>97.5-5</f>
        <v>92.5</v>
      </c>
      <c r="J60" s="46">
        <v>97.5</v>
      </c>
      <c r="K60" s="46">
        <v>97.5</v>
      </c>
      <c r="L60" s="1"/>
    </row>
    <row r="61" spans="1:12" ht="63" outlineLevel="5" x14ac:dyDescent="0.25">
      <c r="A61" s="18" t="s">
        <v>34</v>
      </c>
      <c r="B61" s="8"/>
      <c r="C61" s="8"/>
      <c r="D61" s="8"/>
      <c r="E61" s="19" t="s">
        <v>243</v>
      </c>
      <c r="F61" s="19" t="s">
        <v>492</v>
      </c>
      <c r="G61" s="19" t="s">
        <v>500</v>
      </c>
      <c r="H61" s="19" t="s">
        <v>500</v>
      </c>
      <c r="I61" s="46">
        <f>I62+I65+I67</f>
        <v>120643.14689999999</v>
      </c>
      <c r="J61" s="46">
        <f t="shared" ref="J61:K61" si="18">J62+J65</f>
        <v>42982.564749999998</v>
      </c>
      <c r="K61" s="46">
        <f t="shared" si="18"/>
        <v>62825.599999999999</v>
      </c>
      <c r="L61" s="20"/>
    </row>
    <row r="62" spans="1:12" ht="63" outlineLevel="6" x14ac:dyDescent="0.25">
      <c r="A62" s="18" t="s">
        <v>35</v>
      </c>
      <c r="B62" s="8"/>
      <c r="C62" s="8"/>
      <c r="D62" s="8"/>
      <c r="E62" s="19" t="s">
        <v>244</v>
      </c>
      <c r="F62" s="19" t="s">
        <v>492</v>
      </c>
      <c r="G62" s="19" t="s">
        <v>500</v>
      </c>
      <c r="H62" s="19" t="s">
        <v>500</v>
      </c>
      <c r="I62" s="46">
        <f>I64+I63</f>
        <v>118338.1069</v>
      </c>
      <c r="J62" s="46">
        <f t="shared" ref="J62:K62" si="19">J64</f>
        <v>40682.564749999998</v>
      </c>
      <c r="K62" s="46">
        <f t="shared" si="19"/>
        <v>60525.599999999999</v>
      </c>
      <c r="L62" s="1"/>
    </row>
    <row r="63" spans="1:12" ht="53.25" customHeight="1" outlineLevel="6" x14ac:dyDescent="0.25">
      <c r="A63" s="18" t="s">
        <v>36</v>
      </c>
      <c r="B63" s="8"/>
      <c r="C63" s="8"/>
      <c r="D63" s="8"/>
      <c r="E63" s="19" t="s">
        <v>244</v>
      </c>
      <c r="F63" s="19" t="s">
        <v>497</v>
      </c>
      <c r="G63" s="33" t="s">
        <v>506</v>
      </c>
      <c r="H63" s="33">
        <v>12</v>
      </c>
      <c r="I63" s="46">
        <v>3300</v>
      </c>
      <c r="J63" s="46">
        <v>0</v>
      </c>
      <c r="K63" s="46">
        <v>0</v>
      </c>
      <c r="L63" s="1"/>
    </row>
    <row r="64" spans="1:12" ht="53.25" customHeight="1" outlineLevel="2" x14ac:dyDescent="0.25">
      <c r="A64" s="18" t="s">
        <v>36</v>
      </c>
      <c r="B64" s="8"/>
      <c r="C64" s="8"/>
      <c r="D64" s="8"/>
      <c r="E64" s="19" t="s">
        <v>244</v>
      </c>
      <c r="F64" s="19" t="s">
        <v>497</v>
      </c>
      <c r="G64" s="19" t="s">
        <v>501</v>
      </c>
      <c r="H64" s="19" t="s">
        <v>505</v>
      </c>
      <c r="I64" s="46">
        <f>60525.6+35.16+2903.3533+14646-2276.84+4170+628.8336+1106+2000+31300</f>
        <v>115038.1069</v>
      </c>
      <c r="J64" s="46">
        <f>60525.6-19843.03525</f>
        <v>40682.564749999998</v>
      </c>
      <c r="K64" s="46">
        <v>60525.599999999999</v>
      </c>
      <c r="L64" s="1"/>
    </row>
    <row r="65" spans="1:12" ht="31.5" outlineLevel="5" x14ac:dyDescent="0.25">
      <c r="A65" s="18" t="s">
        <v>37</v>
      </c>
      <c r="B65" s="8"/>
      <c r="C65" s="8"/>
      <c r="D65" s="8"/>
      <c r="E65" s="19" t="s">
        <v>245</v>
      </c>
      <c r="F65" s="19" t="s">
        <v>492</v>
      </c>
      <c r="G65" s="19" t="s">
        <v>500</v>
      </c>
      <c r="H65" s="19" t="s">
        <v>500</v>
      </c>
      <c r="I65" s="46">
        <f>I66</f>
        <v>2300</v>
      </c>
      <c r="J65" s="46">
        <f t="shared" ref="J65:K65" si="20">J66</f>
        <v>2300</v>
      </c>
      <c r="K65" s="46">
        <f t="shared" si="20"/>
        <v>2300</v>
      </c>
      <c r="L65" s="1"/>
    </row>
    <row r="66" spans="1:12" ht="47.25" outlineLevel="6" x14ac:dyDescent="0.25">
      <c r="A66" s="18" t="s">
        <v>30</v>
      </c>
      <c r="B66" s="8"/>
      <c r="C66" s="8"/>
      <c r="D66" s="8"/>
      <c r="E66" s="19" t="s">
        <v>245</v>
      </c>
      <c r="F66" s="19" t="s">
        <v>495</v>
      </c>
      <c r="G66" s="19" t="s">
        <v>501</v>
      </c>
      <c r="H66" s="19" t="s">
        <v>505</v>
      </c>
      <c r="I66" s="46">
        <v>2300</v>
      </c>
      <c r="J66" s="46">
        <v>2300</v>
      </c>
      <c r="K66" s="46">
        <v>2300</v>
      </c>
      <c r="L66" s="1"/>
    </row>
    <row r="67" spans="1:12" ht="31.5" outlineLevel="6" x14ac:dyDescent="0.25">
      <c r="A67" s="18" t="s">
        <v>650</v>
      </c>
      <c r="B67" s="8"/>
      <c r="C67" s="8"/>
      <c r="D67" s="8"/>
      <c r="E67" s="33" t="s">
        <v>649</v>
      </c>
      <c r="F67" s="33" t="s">
        <v>492</v>
      </c>
      <c r="G67" s="33" t="s">
        <v>500</v>
      </c>
      <c r="H67" s="33" t="s">
        <v>500</v>
      </c>
      <c r="I67" s="46">
        <f>I68</f>
        <v>5.04</v>
      </c>
      <c r="J67" s="46">
        <f t="shared" ref="J67:K67" si="21">J68</f>
        <v>0</v>
      </c>
      <c r="K67" s="46">
        <f t="shared" si="21"/>
        <v>0</v>
      </c>
      <c r="L67" s="1"/>
    </row>
    <row r="68" spans="1:12" ht="47.25" outlineLevel="6" x14ac:dyDescent="0.25">
      <c r="A68" s="18" t="s">
        <v>30</v>
      </c>
      <c r="B68" s="8"/>
      <c r="C68" s="8"/>
      <c r="D68" s="8"/>
      <c r="E68" s="33" t="s">
        <v>649</v>
      </c>
      <c r="F68" s="33" t="s">
        <v>495</v>
      </c>
      <c r="G68" s="33" t="s">
        <v>501</v>
      </c>
      <c r="H68" s="33" t="s">
        <v>505</v>
      </c>
      <c r="I68" s="46">
        <v>5.04</v>
      </c>
      <c r="J68" s="46">
        <v>0</v>
      </c>
      <c r="K68" s="46">
        <v>0</v>
      </c>
      <c r="L68" s="1"/>
    </row>
    <row r="69" spans="1:12" ht="63" outlineLevel="4" x14ac:dyDescent="0.25">
      <c r="A69" s="18" t="s">
        <v>38</v>
      </c>
      <c r="B69" s="8"/>
      <c r="C69" s="8"/>
      <c r="D69" s="8"/>
      <c r="E69" s="19" t="s">
        <v>246</v>
      </c>
      <c r="F69" s="19" t="s">
        <v>492</v>
      </c>
      <c r="G69" s="19" t="s">
        <v>500</v>
      </c>
      <c r="H69" s="19" t="s">
        <v>500</v>
      </c>
      <c r="I69" s="46">
        <f>I70+I73</f>
        <v>4517.0000000000018</v>
      </c>
      <c r="J69" s="46">
        <f t="shared" ref="J69:K69" si="22">J70+J73</f>
        <v>6078.5916999999999</v>
      </c>
      <c r="K69" s="46">
        <f t="shared" si="22"/>
        <v>10497.9</v>
      </c>
      <c r="L69" s="1"/>
    </row>
    <row r="70" spans="1:12" ht="15.75" outlineLevel="5" x14ac:dyDescent="0.25">
      <c r="A70" s="18" t="s">
        <v>39</v>
      </c>
      <c r="B70" s="8"/>
      <c r="C70" s="8"/>
      <c r="D70" s="8"/>
      <c r="E70" s="19" t="s">
        <v>247</v>
      </c>
      <c r="F70" s="19" t="s">
        <v>492</v>
      </c>
      <c r="G70" s="19" t="s">
        <v>500</v>
      </c>
      <c r="H70" s="19" t="s">
        <v>500</v>
      </c>
      <c r="I70" s="46">
        <f>I71+I72</f>
        <v>4517</v>
      </c>
      <c r="J70" s="46">
        <f t="shared" ref="J70:K70" si="23">J71</f>
        <v>4517</v>
      </c>
      <c r="K70" s="46">
        <f t="shared" si="23"/>
        <v>4517</v>
      </c>
      <c r="L70" s="1"/>
    </row>
    <row r="71" spans="1:12" ht="47.25" outlineLevel="6" x14ac:dyDescent="0.25">
      <c r="A71" s="18" t="s">
        <v>30</v>
      </c>
      <c r="B71" s="8"/>
      <c r="C71" s="8"/>
      <c r="D71" s="8"/>
      <c r="E71" s="19" t="s">
        <v>247</v>
      </c>
      <c r="F71" s="19" t="s">
        <v>495</v>
      </c>
      <c r="G71" s="19" t="s">
        <v>501</v>
      </c>
      <c r="H71" s="19" t="s">
        <v>505</v>
      </c>
      <c r="I71" s="46">
        <f>4517-14</f>
        <v>4503</v>
      </c>
      <c r="J71" s="46">
        <v>4517</v>
      </c>
      <c r="K71" s="46">
        <v>4517</v>
      </c>
      <c r="L71" s="1"/>
    </row>
    <row r="72" spans="1:12" ht="15.75" outlineLevel="6" x14ac:dyDescent="0.25">
      <c r="A72" s="18" t="s">
        <v>33</v>
      </c>
      <c r="B72" s="8"/>
      <c r="C72" s="8"/>
      <c r="D72" s="8"/>
      <c r="E72" s="19" t="s">
        <v>247</v>
      </c>
      <c r="F72" s="19">
        <v>800</v>
      </c>
      <c r="G72" s="33" t="s">
        <v>501</v>
      </c>
      <c r="H72" s="33" t="s">
        <v>505</v>
      </c>
      <c r="I72" s="46">
        <v>14</v>
      </c>
      <c r="J72" s="46">
        <v>0</v>
      </c>
      <c r="K72" s="46">
        <v>0</v>
      </c>
      <c r="L72" s="1"/>
    </row>
    <row r="73" spans="1:12" ht="31.5" outlineLevel="5" x14ac:dyDescent="0.25">
      <c r="A73" s="18" t="s">
        <v>40</v>
      </c>
      <c r="B73" s="8"/>
      <c r="C73" s="8"/>
      <c r="D73" s="8"/>
      <c r="E73" s="19" t="s">
        <v>248</v>
      </c>
      <c r="F73" s="19" t="s">
        <v>492</v>
      </c>
      <c r="G73" s="19" t="s">
        <v>500</v>
      </c>
      <c r="H73" s="19" t="s">
        <v>500</v>
      </c>
      <c r="I73" s="46">
        <f>I74</f>
        <v>2.1138646388862981E-12</v>
      </c>
      <c r="J73" s="46">
        <f t="shared" ref="J73:K73" si="24">J74</f>
        <v>1561.5916999999997</v>
      </c>
      <c r="K73" s="46">
        <f t="shared" si="24"/>
        <v>5980.9</v>
      </c>
      <c r="L73" s="1"/>
    </row>
    <row r="74" spans="1:12" ht="15.75" outlineLevel="6" x14ac:dyDescent="0.25">
      <c r="A74" s="18" t="s">
        <v>33</v>
      </c>
      <c r="B74" s="8"/>
      <c r="C74" s="8"/>
      <c r="D74" s="8"/>
      <c r="E74" s="19" t="s">
        <v>248</v>
      </c>
      <c r="F74" s="19" t="s">
        <v>496</v>
      </c>
      <c r="G74" s="19" t="s">
        <v>501</v>
      </c>
      <c r="H74" s="19" t="s">
        <v>505</v>
      </c>
      <c r="I74" s="46">
        <f>9017.3-100.3-0.05-451.042-8453.72548-8.628-3.55452</f>
        <v>2.1138646388862981E-12</v>
      </c>
      <c r="J74" s="46">
        <f>2604.2-110.5-575.2-356.8783-0.03</f>
        <v>1561.5916999999997</v>
      </c>
      <c r="K74" s="46">
        <v>5980.9</v>
      </c>
      <c r="L74" s="1"/>
    </row>
    <row r="75" spans="1:12" ht="63" outlineLevel="6" x14ac:dyDescent="0.25">
      <c r="A75" s="18" t="s">
        <v>567</v>
      </c>
      <c r="B75" s="8"/>
      <c r="C75" s="8"/>
      <c r="D75" s="8"/>
      <c r="E75" s="33" t="s">
        <v>564</v>
      </c>
      <c r="F75" s="19" t="s">
        <v>492</v>
      </c>
      <c r="G75" s="19" t="s">
        <v>500</v>
      </c>
      <c r="H75" s="19" t="s">
        <v>500</v>
      </c>
      <c r="I75" s="46">
        <f>I76</f>
        <v>321.99429999999995</v>
      </c>
      <c r="J75" s="46">
        <f t="shared" ref="J75:K75" si="25">J76</f>
        <v>0</v>
      </c>
      <c r="K75" s="46">
        <f t="shared" si="25"/>
        <v>0</v>
      </c>
      <c r="L75" s="1"/>
    </row>
    <row r="76" spans="1:12" ht="47.25" outlineLevel="6" x14ac:dyDescent="0.25">
      <c r="A76" s="18" t="s">
        <v>566</v>
      </c>
      <c r="B76" s="8"/>
      <c r="C76" s="8"/>
      <c r="D76" s="8"/>
      <c r="E76" s="33" t="s">
        <v>565</v>
      </c>
      <c r="F76" s="19" t="s">
        <v>492</v>
      </c>
      <c r="G76" s="19" t="s">
        <v>500</v>
      </c>
      <c r="H76" s="19" t="s">
        <v>500</v>
      </c>
      <c r="I76" s="46">
        <f>I78+I77+I79</f>
        <v>321.99429999999995</v>
      </c>
      <c r="J76" s="46">
        <f>J78</f>
        <v>0</v>
      </c>
      <c r="K76" s="46">
        <f>K78</f>
        <v>0</v>
      </c>
      <c r="L76" s="1"/>
    </row>
    <row r="77" spans="1:12" ht="47.25" outlineLevel="6" x14ac:dyDescent="0.25">
      <c r="A77" s="18" t="s">
        <v>30</v>
      </c>
      <c r="B77" s="8"/>
      <c r="C77" s="8"/>
      <c r="D77" s="8"/>
      <c r="E77" s="33" t="s">
        <v>565</v>
      </c>
      <c r="F77" s="33" t="s">
        <v>495</v>
      </c>
      <c r="G77" s="33" t="s">
        <v>501</v>
      </c>
      <c r="H77" s="33" t="s">
        <v>502</v>
      </c>
      <c r="I77" s="46">
        <f>0.1+76.65</f>
        <v>76.75</v>
      </c>
      <c r="J77" s="46">
        <v>0</v>
      </c>
      <c r="K77" s="46">
        <v>0</v>
      </c>
      <c r="L77" s="1"/>
    </row>
    <row r="78" spans="1:12" ht="47.25" hidden="1" outlineLevel="6" x14ac:dyDescent="0.25">
      <c r="A78" s="18" t="s">
        <v>20</v>
      </c>
      <c r="B78" s="8"/>
      <c r="C78" s="8"/>
      <c r="D78" s="8"/>
      <c r="E78" s="33" t="s">
        <v>565</v>
      </c>
      <c r="F78" s="33" t="s">
        <v>493</v>
      </c>
      <c r="G78" s="33" t="s">
        <v>501</v>
      </c>
      <c r="H78" s="33" t="s">
        <v>502</v>
      </c>
      <c r="I78" s="46">
        <f>0.1-0.1</f>
        <v>0</v>
      </c>
      <c r="J78" s="46">
        <v>0</v>
      </c>
      <c r="K78" s="46">
        <v>0</v>
      </c>
      <c r="L78" s="1"/>
    </row>
    <row r="79" spans="1:12" ht="47.25" outlineLevel="6" x14ac:dyDescent="0.25">
      <c r="A79" s="18" t="s">
        <v>20</v>
      </c>
      <c r="B79" s="8"/>
      <c r="C79" s="8"/>
      <c r="D79" s="8"/>
      <c r="E79" s="33" t="s">
        <v>565</v>
      </c>
      <c r="F79" s="33" t="s">
        <v>493</v>
      </c>
      <c r="G79" s="33" t="s">
        <v>501</v>
      </c>
      <c r="H79" s="33" t="s">
        <v>502</v>
      </c>
      <c r="I79" s="46">
        <f>108.4253+136.819</f>
        <v>245.24429999999998</v>
      </c>
      <c r="J79" s="46">
        <v>0</v>
      </c>
      <c r="K79" s="46">
        <v>0</v>
      </c>
      <c r="L79" s="1"/>
    </row>
    <row r="80" spans="1:12" ht="63" outlineLevel="6" x14ac:dyDescent="0.25">
      <c r="A80" s="18" t="s">
        <v>41</v>
      </c>
      <c r="B80" s="8"/>
      <c r="C80" s="8"/>
      <c r="D80" s="8"/>
      <c r="E80" s="19" t="s">
        <v>249</v>
      </c>
      <c r="F80" s="19" t="s">
        <v>492</v>
      </c>
      <c r="G80" s="19" t="s">
        <v>500</v>
      </c>
      <c r="H80" s="19" t="s">
        <v>500</v>
      </c>
      <c r="I80" s="46">
        <f>I81</f>
        <v>74.514520000000005</v>
      </c>
      <c r="J80" s="46">
        <f t="shared" ref="J80:K81" si="26">J81</f>
        <v>76</v>
      </c>
      <c r="K80" s="46">
        <f t="shared" si="26"/>
        <v>76</v>
      </c>
      <c r="L80" s="1"/>
    </row>
    <row r="81" spans="1:12" ht="47.25" outlineLevel="6" x14ac:dyDescent="0.25">
      <c r="A81" s="18" t="s">
        <v>42</v>
      </c>
      <c r="B81" s="8"/>
      <c r="C81" s="8"/>
      <c r="D81" s="8"/>
      <c r="E81" s="19" t="s">
        <v>250</v>
      </c>
      <c r="F81" s="19" t="s">
        <v>492</v>
      </c>
      <c r="G81" s="19" t="s">
        <v>500</v>
      </c>
      <c r="H81" s="19" t="s">
        <v>500</v>
      </c>
      <c r="I81" s="46">
        <f>I82</f>
        <v>74.514520000000005</v>
      </c>
      <c r="J81" s="46">
        <f t="shared" si="26"/>
        <v>76</v>
      </c>
      <c r="K81" s="46">
        <f t="shared" si="26"/>
        <v>76</v>
      </c>
      <c r="L81" s="1"/>
    </row>
    <row r="82" spans="1:12" ht="47.25" outlineLevel="6" x14ac:dyDescent="0.25">
      <c r="A82" s="18" t="s">
        <v>30</v>
      </c>
      <c r="B82" s="8"/>
      <c r="C82" s="8"/>
      <c r="D82" s="8"/>
      <c r="E82" s="19" t="s">
        <v>250</v>
      </c>
      <c r="F82" s="19" t="s">
        <v>495</v>
      </c>
      <c r="G82" s="19" t="s">
        <v>506</v>
      </c>
      <c r="H82" s="19" t="s">
        <v>507</v>
      </c>
      <c r="I82" s="46">
        <f>76-1.48548</f>
        <v>74.514520000000005</v>
      </c>
      <c r="J82" s="46">
        <v>76</v>
      </c>
      <c r="K82" s="46">
        <v>76</v>
      </c>
      <c r="L82" s="1"/>
    </row>
    <row r="83" spans="1:12" ht="78.75" outlineLevel="3" x14ac:dyDescent="0.25">
      <c r="A83" s="18" t="s">
        <v>43</v>
      </c>
      <c r="B83" s="8"/>
      <c r="C83" s="8"/>
      <c r="D83" s="8"/>
      <c r="E83" s="19" t="s">
        <v>251</v>
      </c>
      <c r="F83" s="19" t="s">
        <v>492</v>
      </c>
      <c r="G83" s="19" t="s">
        <v>500</v>
      </c>
      <c r="H83" s="19" t="s">
        <v>500</v>
      </c>
      <c r="I83" s="46">
        <f>I84+I86+I88+I90</f>
        <v>10109.064999999999</v>
      </c>
      <c r="J83" s="46">
        <f t="shared" ref="J83:K83" si="27">J84+J86</f>
        <v>5588.5</v>
      </c>
      <c r="K83" s="46">
        <f t="shared" si="27"/>
        <v>5588.5</v>
      </c>
      <c r="L83" s="4"/>
    </row>
    <row r="84" spans="1:12" ht="67.5" customHeight="1" outlineLevel="4" x14ac:dyDescent="0.25">
      <c r="A84" s="18" t="s">
        <v>44</v>
      </c>
      <c r="B84" s="8"/>
      <c r="C84" s="8"/>
      <c r="D84" s="8"/>
      <c r="E84" s="19" t="s">
        <v>252</v>
      </c>
      <c r="F84" s="19" t="s">
        <v>492</v>
      </c>
      <c r="G84" s="19" t="s">
        <v>500</v>
      </c>
      <c r="H84" s="19" t="s">
        <v>500</v>
      </c>
      <c r="I84" s="46">
        <f>I85</f>
        <v>3256.87</v>
      </c>
      <c r="J84" s="46">
        <f t="shared" ref="J84:K84" si="28">J85</f>
        <v>3988</v>
      </c>
      <c r="K84" s="46">
        <f t="shared" si="28"/>
        <v>3988</v>
      </c>
      <c r="L84" s="1"/>
    </row>
    <row r="85" spans="1:12" ht="31.5" outlineLevel="5" x14ac:dyDescent="0.25">
      <c r="A85" s="18" t="s">
        <v>45</v>
      </c>
      <c r="B85" s="8"/>
      <c r="C85" s="8"/>
      <c r="D85" s="8"/>
      <c r="E85" s="19" t="s">
        <v>252</v>
      </c>
      <c r="F85" s="19" t="s">
        <v>498</v>
      </c>
      <c r="G85" s="19" t="s">
        <v>508</v>
      </c>
      <c r="H85" s="19" t="s">
        <v>505</v>
      </c>
      <c r="I85" s="46">
        <f>3988-215.57-515.56</f>
        <v>3256.87</v>
      </c>
      <c r="J85" s="46">
        <v>3988</v>
      </c>
      <c r="K85" s="46">
        <v>3988</v>
      </c>
      <c r="L85" s="1"/>
    </row>
    <row r="86" spans="1:12" ht="111" customHeight="1" outlineLevel="6" x14ac:dyDescent="0.25">
      <c r="A86" s="18" t="s">
        <v>46</v>
      </c>
      <c r="B86" s="8"/>
      <c r="C86" s="8"/>
      <c r="D86" s="8"/>
      <c r="E86" s="19" t="s">
        <v>253</v>
      </c>
      <c r="F86" s="19" t="s">
        <v>492</v>
      </c>
      <c r="G86" s="19" t="s">
        <v>500</v>
      </c>
      <c r="H86" s="19" t="s">
        <v>500</v>
      </c>
      <c r="I86" s="46">
        <f>I87</f>
        <v>1438.3</v>
      </c>
      <c r="J86" s="46">
        <f t="shared" ref="J86:K86" si="29">J87</f>
        <v>1600.5</v>
      </c>
      <c r="K86" s="46">
        <f t="shared" si="29"/>
        <v>1600.5</v>
      </c>
      <c r="L86" s="1"/>
    </row>
    <row r="87" spans="1:12" ht="31.5" outlineLevel="4" x14ac:dyDescent="0.25">
      <c r="A87" s="18" t="s">
        <v>45</v>
      </c>
      <c r="B87" s="8"/>
      <c r="C87" s="8"/>
      <c r="D87" s="8"/>
      <c r="E87" s="19" t="s">
        <v>253</v>
      </c>
      <c r="F87" s="19" t="s">
        <v>498</v>
      </c>
      <c r="G87" s="19" t="s">
        <v>508</v>
      </c>
      <c r="H87" s="19" t="s">
        <v>505</v>
      </c>
      <c r="I87" s="46">
        <f>1600.5-61.2-95-6</f>
        <v>1438.3</v>
      </c>
      <c r="J87" s="46">
        <v>1600.5</v>
      </c>
      <c r="K87" s="46">
        <v>1600.5</v>
      </c>
      <c r="L87" s="1"/>
    </row>
    <row r="88" spans="1:12" ht="63" outlineLevel="4" x14ac:dyDescent="0.25">
      <c r="A88" s="40" t="s">
        <v>533</v>
      </c>
      <c r="B88" s="34"/>
      <c r="C88" s="8"/>
      <c r="D88" s="8"/>
      <c r="E88" s="33" t="s">
        <v>532</v>
      </c>
      <c r="F88" s="19" t="s">
        <v>492</v>
      </c>
      <c r="G88" s="19" t="s">
        <v>500</v>
      </c>
      <c r="H88" s="19" t="s">
        <v>500</v>
      </c>
      <c r="I88" s="46">
        <f>I89</f>
        <v>5143.2</v>
      </c>
      <c r="J88" s="46">
        <f t="shared" ref="J88:K88" si="30">J89</f>
        <v>0</v>
      </c>
      <c r="K88" s="46">
        <f t="shared" si="30"/>
        <v>0</v>
      </c>
      <c r="L88" s="1"/>
    </row>
    <row r="89" spans="1:12" ht="31.5" outlineLevel="4" x14ac:dyDescent="0.25">
      <c r="A89" s="18" t="s">
        <v>45</v>
      </c>
      <c r="B89" s="8"/>
      <c r="C89" s="8"/>
      <c r="D89" s="8"/>
      <c r="E89" s="33" t="s">
        <v>532</v>
      </c>
      <c r="F89" s="19" t="s">
        <v>498</v>
      </c>
      <c r="G89" s="19" t="s">
        <v>508</v>
      </c>
      <c r="H89" s="19" t="s">
        <v>505</v>
      </c>
      <c r="I89" s="46">
        <v>5143.2</v>
      </c>
      <c r="J89" s="46">
        <v>0</v>
      </c>
      <c r="K89" s="46">
        <v>0</v>
      </c>
      <c r="L89" s="1"/>
    </row>
    <row r="90" spans="1:12" ht="63" outlineLevel="4" x14ac:dyDescent="0.25">
      <c r="A90" s="40" t="s">
        <v>548</v>
      </c>
      <c r="B90" s="8"/>
      <c r="C90" s="8"/>
      <c r="D90" s="8"/>
      <c r="E90" s="33" t="s">
        <v>547</v>
      </c>
      <c r="F90" s="19" t="s">
        <v>492</v>
      </c>
      <c r="G90" s="19" t="s">
        <v>500</v>
      </c>
      <c r="H90" s="19" t="s">
        <v>500</v>
      </c>
      <c r="I90" s="46">
        <f>I91</f>
        <v>270.69499999999999</v>
      </c>
      <c r="J90" s="46">
        <f t="shared" ref="J90:K90" si="31">J91</f>
        <v>0</v>
      </c>
      <c r="K90" s="46">
        <f t="shared" si="31"/>
        <v>0</v>
      </c>
      <c r="L90" s="1"/>
    </row>
    <row r="91" spans="1:12" ht="31.5" outlineLevel="4" x14ac:dyDescent="0.25">
      <c r="A91" s="18" t="s">
        <v>45</v>
      </c>
      <c r="B91" s="8"/>
      <c r="C91" s="8"/>
      <c r="D91" s="8"/>
      <c r="E91" s="33" t="s">
        <v>547</v>
      </c>
      <c r="F91" s="19" t="s">
        <v>498</v>
      </c>
      <c r="G91" s="19" t="s">
        <v>508</v>
      </c>
      <c r="H91" s="19" t="s">
        <v>505</v>
      </c>
      <c r="I91" s="46">
        <v>270.69499999999999</v>
      </c>
      <c r="J91" s="46">
        <v>0</v>
      </c>
      <c r="K91" s="46">
        <v>0</v>
      </c>
      <c r="L91" s="1"/>
    </row>
    <row r="92" spans="1:12" ht="63" outlineLevel="5" x14ac:dyDescent="0.25">
      <c r="A92" s="18" t="s">
        <v>47</v>
      </c>
      <c r="B92" s="8"/>
      <c r="C92" s="8"/>
      <c r="D92" s="8"/>
      <c r="E92" s="19" t="s">
        <v>254</v>
      </c>
      <c r="F92" s="19" t="s">
        <v>492</v>
      </c>
      <c r="G92" s="19" t="s">
        <v>500</v>
      </c>
      <c r="H92" s="19" t="s">
        <v>500</v>
      </c>
      <c r="I92" s="46">
        <f>I93+I98+I100+I102+I96</f>
        <v>105397.50462000001</v>
      </c>
      <c r="J92" s="46">
        <f t="shared" ref="J92:K92" si="32">J93+J98+J100+J102</f>
        <v>72176.399999999994</v>
      </c>
      <c r="K92" s="46">
        <f t="shared" si="32"/>
        <v>74726.899999999994</v>
      </c>
      <c r="L92" s="20"/>
    </row>
    <row r="93" spans="1:12" ht="63" outlineLevel="6" x14ac:dyDescent="0.25">
      <c r="A93" s="18" t="s">
        <v>48</v>
      </c>
      <c r="B93" s="8"/>
      <c r="C93" s="8"/>
      <c r="D93" s="8"/>
      <c r="E93" s="19" t="s">
        <v>255</v>
      </c>
      <c r="F93" s="19" t="s">
        <v>492</v>
      </c>
      <c r="G93" s="19" t="s">
        <v>500</v>
      </c>
      <c r="H93" s="19" t="s">
        <v>500</v>
      </c>
      <c r="I93" s="46">
        <f>I94+I95</f>
        <v>103492.29214000001</v>
      </c>
      <c r="J93" s="46">
        <f t="shared" ref="J93:K93" si="33">J94</f>
        <v>71976.399999999994</v>
      </c>
      <c r="K93" s="46">
        <f t="shared" si="33"/>
        <v>74526.899999999994</v>
      </c>
      <c r="L93" s="1"/>
    </row>
    <row r="94" spans="1:12" ht="52.5" customHeight="1" outlineLevel="3" x14ac:dyDescent="0.25">
      <c r="A94" s="18" t="s">
        <v>36</v>
      </c>
      <c r="B94" s="8"/>
      <c r="C94" s="8"/>
      <c r="D94" s="8"/>
      <c r="E94" s="19" t="s">
        <v>255</v>
      </c>
      <c r="F94" s="19" t="s">
        <v>497</v>
      </c>
      <c r="G94" s="19" t="s">
        <v>506</v>
      </c>
      <c r="H94" s="19" t="s">
        <v>509</v>
      </c>
      <c r="I94" s="46">
        <f>66882.3+8155.77614-8811.58054+5000+95+10052.9-34.9+12993.216</f>
        <v>94332.71160000001</v>
      </c>
      <c r="J94" s="46">
        <v>71976.399999999994</v>
      </c>
      <c r="K94" s="46">
        <v>74526.899999999994</v>
      </c>
      <c r="L94" s="1"/>
    </row>
    <row r="95" spans="1:12" ht="52.5" customHeight="1" outlineLevel="3" x14ac:dyDescent="0.25">
      <c r="A95" s="18" t="s">
        <v>36</v>
      </c>
      <c r="B95" s="8"/>
      <c r="C95" s="8"/>
      <c r="D95" s="8"/>
      <c r="E95" s="19" t="s">
        <v>255</v>
      </c>
      <c r="F95" s="19" t="s">
        <v>497</v>
      </c>
      <c r="G95" s="33" t="s">
        <v>501</v>
      </c>
      <c r="H95" s="33" t="s">
        <v>502</v>
      </c>
      <c r="I95" s="46">
        <f>348+8811.58054</f>
        <v>9159.5805400000008</v>
      </c>
      <c r="J95" s="46">
        <v>0</v>
      </c>
      <c r="K95" s="46">
        <v>0</v>
      </c>
      <c r="L95" s="1"/>
    </row>
    <row r="96" spans="1:12" ht="16.5" customHeight="1" outlineLevel="3" x14ac:dyDescent="0.25">
      <c r="A96" s="18" t="s">
        <v>604</v>
      </c>
      <c r="B96" s="8"/>
      <c r="C96" s="8"/>
      <c r="D96" s="8"/>
      <c r="E96" s="33" t="s">
        <v>605</v>
      </c>
      <c r="F96" s="19" t="s">
        <v>492</v>
      </c>
      <c r="G96" s="19" t="s">
        <v>500</v>
      </c>
      <c r="H96" s="19" t="s">
        <v>500</v>
      </c>
      <c r="I96" s="46">
        <f>I97</f>
        <v>1705.2124800000001</v>
      </c>
      <c r="J96" s="46">
        <f t="shared" ref="J96:K96" si="34">J97</f>
        <v>0</v>
      </c>
      <c r="K96" s="46">
        <f t="shared" si="34"/>
        <v>0</v>
      </c>
      <c r="L96" s="1"/>
    </row>
    <row r="97" spans="1:12" ht="52.5" customHeight="1" outlineLevel="3" x14ac:dyDescent="0.25">
      <c r="A97" s="18" t="s">
        <v>36</v>
      </c>
      <c r="B97" s="8"/>
      <c r="C97" s="8"/>
      <c r="D97" s="8"/>
      <c r="E97" s="33" t="s">
        <v>605</v>
      </c>
      <c r="F97" s="33" t="s">
        <v>497</v>
      </c>
      <c r="G97" s="33" t="s">
        <v>506</v>
      </c>
      <c r="H97" s="33" t="s">
        <v>509</v>
      </c>
      <c r="I97" s="46">
        <f>185.442+234.87+211.2+385.8044+306.29943+141.91265+34.9+204.784</f>
        <v>1705.2124800000001</v>
      </c>
      <c r="J97" s="46">
        <v>0</v>
      </c>
      <c r="K97" s="46">
        <v>0</v>
      </c>
      <c r="L97" s="1"/>
    </row>
    <row r="98" spans="1:12" ht="47.25" outlineLevel="6" x14ac:dyDescent="0.25">
      <c r="A98" s="18" t="s">
        <v>49</v>
      </c>
      <c r="B98" s="8"/>
      <c r="C98" s="8"/>
      <c r="D98" s="8"/>
      <c r="E98" s="19" t="s">
        <v>256</v>
      </c>
      <c r="F98" s="19" t="s">
        <v>492</v>
      </c>
      <c r="G98" s="19" t="s">
        <v>500</v>
      </c>
      <c r="H98" s="19" t="s">
        <v>500</v>
      </c>
      <c r="I98" s="46">
        <f>I99</f>
        <v>200</v>
      </c>
      <c r="J98" s="46">
        <f t="shared" ref="J98:K98" si="35">J99</f>
        <v>200</v>
      </c>
      <c r="K98" s="46">
        <f t="shared" si="35"/>
        <v>200</v>
      </c>
      <c r="L98" s="1"/>
    </row>
    <row r="99" spans="1:12" ht="47.25" outlineLevel="3" x14ac:dyDescent="0.25">
      <c r="A99" s="18" t="s">
        <v>30</v>
      </c>
      <c r="B99" s="8"/>
      <c r="C99" s="8"/>
      <c r="D99" s="8"/>
      <c r="E99" s="19" t="s">
        <v>256</v>
      </c>
      <c r="F99" s="19" t="s">
        <v>495</v>
      </c>
      <c r="G99" s="19" t="s">
        <v>505</v>
      </c>
      <c r="H99" s="19" t="s">
        <v>508</v>
      </c>
      <c r="I99" s="46">
        <v>200</v>
      </c>
      <c r="J99" s="46">
        <v>200</v>
      </c>
      <c r="K99" s="46">
        <v>200</v>
      </c>
      <c r="L99" s="1"/>
    </row>
    <row r="100" spans="1:12" ht="69.75" hidden="1" customHeight="1" outlineLevel="6" x14ac:dyDescent="0.25">
      <c r="A100" s="18" t="s">
        <v>50</v>
      </c>
      <c r="B100" s="8"/>
      <c r="C100" s="8"/>
      <c r="D100" s="8"/>
      <c r="E100" s="19" t="s">
        <v>257</v>
      </c>
      <c r="F100" s="19" t="s">
        <v>492</v>
      </c>
      <c r="G100" s="19" t="s">
        <v>500</v>
      </c>
      <c r="H100" s="19" t="s">
        <v>500</v>
      </c>
      <c r="I100" s="46">
        <f>I101</f>
        <v>0</v>
      </c>
      <c r="J100" s="46">
        <f t="shared" ref="J100:K100" si="36">J101</f>
        <v>0</v>
      </c>
      <c r="K100" s="46">
        <f t="shared" si="36"/>
        <v>0</v>
      </c>
      <c r="L100" s="1"/>
    </row>
    <row r="101" spans="1:12" ht="50.25" hidden="1" customHeight="1" outlineLevel="4" x14ac:dyDescent="0.25">
      <c r="A101" s="18" t="s">
        <v>36</v>
      </c>
      <c r="B101" s="8"/>
      <c r="C101" s="8"/>
      <c r="D101" s="8"/>
      <c r="E101" s="19" t="s">
        <v>257</v>
      </c>
      <c r="F101" s="19" t="s">
        <v>497</v>
      </c>
      <c r="G101" s="19" t="s">
        <v>506</v>
      </c>
      <c r="H101" s="19" t="s">
        <v>509</v>
      </c>
      <c r="I101" s="46">
        <f>59580-59580</f>
        <v>0</v>
      </c>
      <c r="J101" s="46">
        <f>38950-38950</f>
        <v>0</v>
      </c>
      <c r="K101" s="46">
        <f>38950-38950</f>
        <v>0</v>
      </c>
      <c r="L101" s="1"/>
    </row>
    <row r="102" spans="1:12" ht="63" hidden="1" outlineLevel="3" collapsed="1" x14ac:dyDescent="0.25">
      <c r="A102" s="18" t="s">
        <v>50</v>
      </c>
      <c r="B102" s="8"/>
      <c r="C102" s="8"/>
      <c r="D102" s="8"/>
      <c r="E102" s="19" t="s">
        <v>258</v>
      </c>
      <c r="F102" s="19" t="s">
        <v>492</v>
      </c>
      <c r="G102" s="19" t="s">
        <v>500</v>
      </c>
      <c r="H102" s="19" t="s">
        <v>500</v>
      </c>
      <c r="I102" s="46">
        <f>I103</f>
        <v>0</v>
      </c>
      <c r="J102" s="46">
        <f t="shared" ref="J102:K102" si="37">J103</f>
        <v>0</v>
      </c>
      <c r="K102" s="46">
        <f t="shared" si="37"/>
        <v>0</v>
      </c>
      <c r="L102" s="1"/>
    </row>
    <row r="103" spans="1:12" ht="50.25" hidden="1" customHeight="1" outlineLevel="4" x14ac:dyDescent="0.25">
      <c r="A103" s="18" t="s">
        <v>36</v>
      </c>
      <c r="B103" s="8"/>
      <c r="C103" s="8"/>
      <c r="D103" s="8"/>
      <c r="E103" s="19" t="s">
        <v>258</v>
      </c>
      <c r="F103" s="19" t="s">
        <v>497</v>
      </c>
      <c r="G103" s="19" t="s">
        <v>506</v>
      </c>
      <c r="H103" s="19" t="s">
        <v>509</v>
      </c>
      <c r="I103" s="46">
        <f>8902.8-8902.8</f>
        <v>0</v>
      </c>
      <c r="J103" s="46">
        <f>5820.1-5820.1</f>
        <v>0</v>
      </c>
      <c r="K103" s="46">
        <f>5820.1-5820.1</f>
        <v>0</v>
      </c>
      <c r="L103" s="1"/>
    </row>
    <row r="104" spans="1:12" ht="66.75" customHeight="1" outlineLevel="4" x14ac:dyDescent="0.25">
      <c r="A104" s="18" t="s">
        <v>627</v>
      </c>
      <c r="B104" s="8"/>
      <c r="C104" s="8"/>
      <c r="D104" s="8"/>
      <c r="E104" s="33" t="s">
        <v>625</v>
      </c>
      <c r="F104" s="33" t="s">
        <v>492</v>
      </c>
      <c r="G104" s="33" t="s">
        <v>500</v>
      </c>
      <c r="H104" s="33" t="s">
        <v>500</v>
      </c>
      <c r="I104" s="46">
        <f>I105</f>
        <v>1843.7</v>
      </c>
      <c r="J104" s="46">
        <f t="shared" ref="J104:K105" si="38">J105</f>
        <v>0</v>
      </c>
      <c r="K104" s="46">
        <f t="shared" si="38"/>
        <v>0</v>
      </c>
      <c r="L104" s="1"/>
    </row>
    <row r="105" spans="1:12" ht="64.5" customHeight="1" outlineLevel="4" x14ac:dyDescent="0.25">
      <c r="A105" s="18" t="s">
        <v>628</v>
      </c>
      <c r="B105" s="8"/>
      <c r="C105" s="8"/>
      <c r="D105" s="8"/>
      <c r="E105" s="33" t="s">
        <v>626</v>
      </c>
      <c r="F105" s="33" t="s">
        <v>492</v>
      </c>
      <c r="G105" s="33" t="s">
        <v>500</v>
      </c>
      <c r="H105" s="33" t="s">
        <v>500</v>
      </c>
      <c r="I105" s="46">
        <f>I106</f>
        <v>1843.7</v>
      </c>
      <c r="J105" s="46">
        <f t="shared" si="38"/>
        <v>0</v>
      </c>
      <c r="K105" s="46">
        <f t="shared" si="38"/>
        <v>0</v>
      </c>
      <c r="L105" s="1"/>
    </row>
    <row r="106" spans="1:12" ht="50.25" customHeight="1" outlineLevel="4" x14ac:dyDescent="0.25">
      <c r="A106" s="18" t="s">
        <v>526</v>
      </c>
      <c r="B106" s="8"/>
      <c r="C106" s="8"/>
      <c r="D106" s="8"/>
      <c r="E106" s="33" t="s">
        <v>626</v>
      </c>
      <c r="F106" s="33" t="s">
        <v>495</v>
      </c>
      <c r="G106" s="33" t="s">
        <v>501</v>
      </c>
      <c r="H106" s="33" t="s">
        <v>502</v>
      </c>
      <c r="I106" s="46">
        <v>1843.7</v>
      </c>
      <c r="J106" s="46">
        <v>0</v>
      </c>
      <c r="K106" s="46">
        <v>0</v>
      </c>
      <c r="L106" s="1"/>
    </row>
    <row r="107" spans="1:12" ht="78.75" outlineLevel="4" x14ac:dyDescent="0.25">
      <c r="A107" s="29" t="s">
        <v>51</v>
      </c>
      <c r="B107" s="30"/>
      <c r="C107" s="30"/>
      <c r="D107" s="30"/>
      <c r="E107" s="31" t="s">
        <v>259</v>
      </c>
      <c r="F107" s="31" t="s">
        <v>492</v>
      </c>
      <c r="G107" s="31" t="s">
        <v>500</v>
      </c>
      <c r="H107" s="31" t="s">
        <v>500</v>
      </c>
      <c r="I107" s="44">
        <f>I108</f>
        <v>166</v>
      </c>
      <c r="J107" s="44">
        <f t="shared" ref="J107:K107" si="39">J108</f>
        <v>166</v>
      </c>
      <c r="K107" s="44">
        <f t="shared" si="39"/>
        <v>166</v>
      </c>
      <c r="L107" s="1"/>
    </row>
    <row r="108" spans="1:12" ht="18.75" customHeight="1" outlineLevel="5" x14ac:dyDescent="0.25">
      <c r="A108" s="32" t="s">
        <v>24</v>
      </c>
      <c r="B108" s="8"/>
      <c r="C108" s="8"/>
      <c r="D108" s="8"/>
      <c r="E108" s="8" t="s">
        <v>260</v>
      </c>
      <c r="F108" s="8" t="s">
        <v>492</v>
      </c>
      <c r="G108" s="8" t="s">
        <v>500</v>
      </c>
      <c r="H108" s="8" t="s">
        <v>500</v>
      </c>
      <c r="I108" s="45">
        <f>I109+I113</f>
        <v>166</v>
      </c>
      <c r="J108" s="45">
        <f t="shared" ref="J108:K108" si="40">J109+J113</f>
        <v>166</v>
      </c>
      <c r="K108" s="45">
        <f t="shared" si="40"/>
        <v>166</v>
      </c>
      <c r="L108" s="1"/>
    </row>
    <row r="109" spans="1:12" ht="80.25" customHeight="1" outlineLevel="6" x14ac:dyDescent="0.25">
      <c r="A109" s="18" t="s">
        <v>52</v>
      </c>
      <c r="B109" s="8"/>
      <c r="C109" s="8"/>
      <c r="D109" s="8"/>
      <c r="E109" s="19" t="s">
        <v>261</v>
      </c>
      <c r="F109" s="19" t="s">
        <v>492</v>
      </c>
      <c r="G109" s="19" t="s">
        <v>500</v>
      </c>
      <c r="H109" s="19" t="s">
        <v>500</v>
      </c>
      <c r="I109" s="46">
        <f>I110</f>
        <v>13</v>
      </c>
      <c r="J109" s="46">
        <f t="shared" ref="J109:K109" si="41">J110</f>
        <v>13</v>
      </c>
      <c r="K109" s="46">
        <f t="shared" si="41"/>
        <v>13</v>
      </c>
      <c r="L109" s="1"/>
    </row>
    <row r="110" spans="1:12" ht="63" outlineLevel="4" x14ac:dyDescent="0.25">
      <c r="A110" s="18" t="s">
        <v>53</v>
      </c>
      <c r="B110" s="8"/>
      <c r="C110" s="8"/>
      <c r="D110" s="8"/>
      <c r="E110" s="19" t="s">
        <v>262</v>
      </c>
      <c r="F110" s="19" t="s">
        <v>492</v>
      </c>
      <c r="G110" s="19" t="s">
        <v>500</v>
      </c>
      <c r="H110" s="19" t="s">
        <v>500</v>
      </c>
      <c r="I110" s="46">
        <f>I111+I112</f>
        <v>13</v>
      </c>
      <c r="J110" s="46">
        <f t="shared" ref="J110:K110" si="42">J111+J112</f>
        <v>13</v>
      </c>
      <c r="K110" s="46">
        <f t="shared" si="42"/>
        <v>13</v>
      </c>
      <c r="L110" s="1"/>
    </row>
    <row r="111" spans="1:12" ht="47.25" outlineLevel="5" x14ac:dyDescent="0.25">
      <c r="A111" s="18" t="s">
        <v>30</v>
      </c>
      <c r="B111" s="8"/>
      <c r="C111" s="8"/>
      <c r="D111" s="8"/>
      <c r="E111" s="19" t="s">
        <v>262</v>
      </c>
      <c r="F111" s="19" t="s">
        <v>495</v>
      </c>
      <c r="G111" s="19" t="s">
        <v>510</v>
      </c>
      <c r="H111" s="19" t="s">
        <v>510</v>
      </c>
      <c r="I111" s="46">
        <v>3</v>
      </c>
      <c r="J111" s="46">
        <v>3</v>
      </c>
      <c r="K111" s="46">
        <v>3</v>
      </c>
      <c r="L111" s="1"/>
    </row>
    <row r="112" spans="1:12" ht="48.75" customHeight="1" outlineLevel="3" x14ac:dyDescent="0.25">
      <c r="A112" s="18" t="s">
        <v>36</v>
      </c>
      <c r="B112" s="8"/>
      <c r="C112" s="8"/>
      <c r="D112" s="8"/>
      <c r="E112" s="19" t="s">
        <v>262</v>
      </c>
      <c r="F112" s="19" t="s">
        <v>497</v>
      </c>
      <c r="G112" s="19" t="s">
        <v>510</v>
      </c>
      <c r="H112" s="19" t="s">
        <v>505</v>
      </c>
      <c r="I112" s="46">
        <v>10</v>
      </c>
      <c r="J112" s="46">
        <v>10</v>
      </c>
      <c r="K112" s="46">
        <v>10</v>
      </c>
      <c r="L112" s="1"/>
    </row>
    <row r="113" spans="1:12" ht="78.75" outlineLevel="6" x14ac:dyDescent="0.25">
      <c r="A113" s="18" t="s">
        <v>54</v>
      </c>
      <c r="B113" s="8"/>
      <c r="C113" s="8"/>
      <c r="D113" s="8"/>
      <c r="E113" s="19" t="s">
        <v>263</v>
      </c>
      <c r="F113" s="19" t="s">
        <v>492</v>
      </c>
      <c r="G113" s="19" t="s">
        <v>500</v>
      </c>
      <c r="H113" s="19" t="s">
        <v>500</v>
      </c>
      <c r="I113" s="46">
        <f>I114</f>
        <v>153</v>
      </c>
      <c r="J113" s="46">
        <f t="shared" ref="J113:K113" si="43">J114</f>
        <v>153</v>
      </c>
      <c r="K113" s="46">
        <f t="shared" si="43"/>
        <v>153</v>
      </c>
      <c r="L113" s="1"/>
    </row>
    <row r="114" spans="1:12" ht="31.5" outlineLevel="3" x14ac:dyDescent="0.25">
      <c r="A114" s="18" t="s">
        <v>55</v>
      </c>
      <c r="B114" s="8"/>
      <c r="C114" s="8"/>
      <c r="D114" s="8"/>
      <c r="E114" s="19" t="s">
        <v>264</v>
      </c>
      <c r="F114" s="19" t="s">
        <v>492</v>
      </c>
      <c r="G114" s="19" t="s">
        <v>500</v>
      </c>
      <c r="H114" s="19" t="s">
        <v>500</v>
      </c>
      <c r="I114" s="46">
        <f>I115+I116</f>
        <v>153</v>
      </c>
      <c r="J114" s="46">
        <f t="shared" ref="J114:K114" si="44">J115+J116</f>
        <v>153</v>
      </c>
      <c r="K114" s="46">
        <f t="shared" si="44"/>
        <v>153</v>
      </c>
      <c r="L114" s="1"/>
    </row>
    <row r="115" spans="1:12" ht="49.5" customHeight="1" outlineLevel="4" x14ac:dyDescent="0.25">
      <c r="A115" s="18" t="s">
        <v>36</v>
      </c>
      <c r="B115" s="8"/>
      <c r="C115" s="8"/>
      <c r="D115" s="8"/>
      <c r="E115" s="19" t="s">
        <v>264</v>
      </c>
      <c r="F115" s="19" t="s">
        <v>497</v>
      </c>
      <c r="G115" s="19" t="s">
        <v>510</v>
      </c>
      <c r="H115" s="19" t="s">
        <v>505</v>
      </c>
      <c r="I115" s="46">
        <v>53</v>
      </c>
      <c r="J115" s="46">
        <v>53</v>
      </c>
      <c r="K115" s="46">
        <v>53</v>
      </c>
      <c r="L115" s="1"/>
    </row>
    <row r="116" spans="1:12" ht="51.75" customHeight="1" outlineLevel="4" x14ac:dyDescent="0.25">
      <c r="A116" s="18" t="s">
        <v>36</v>
      </c>
      <c r="B116" s="8"/>
      <c r="C116" s="8"/>
      <c r="D116" s="8"/>
      <c r="E116" s="19" t="s">
        <v>264</v>
      </c>
      <c r="F116" s="19" t="s">
        <v>497</v>
      </c>
      <c r="G116" s="19" t="s">
        <v>511</v>
      </c>
      <c r="H116" s="19" t="s">
        <v>503</v>
      </c>
      <c r="I116" s="46">
        <v>100</v>
      </c>
      <c r="J116" s="46">
        <v>100</v>
      </c>
      <c r="K116" s="46">
        <v>100</v>
      </c>
      <c r="L116" s="1"/>
    </row>
    <row r="117" spans="1:12" ht="63" outlineLevel="5" x14ac:dyDescent="0.25">
      <c r="A117" s="29" t="s">
        <v>56</v>
      </c>
      <c r="B117" s="30"/>
      <c r="C117" s="30"/>
      <c r="D117" s="30"/>
      <c r="E117" s="31" t="s">
        <v>265</v>
      </c>
      <c r="F117" s="31" t="s">
        <v>492</v>
      </c>
      <c r="G117" s="31" t="s">
        <v>500</v>
      </c>
      <c r="H117" s="31" t="s">
        <v>500</v>
      </c>
      <c r="I117" s="44">
        <f>I118+I124+I143</f>
        <v>272301.69010000001</v>
      </c>
      <c r="J117" s="44">
        <f t="shared" ref="J117:K117" si="45">J118+J124+J143</f>
        <v>167577.204</v>
      </c>
      <c r="K117" s="44">
        <f t="shared" si="45"/>
        <v>196538.67499999999</v>
      </c>
      <c r="L117" s="1"/>
    </row>
    <row r="118" spans="1:12" ht="78.75" outlineLevel="6" x14ac:dyDescent="0.25">
      <c r="A118" s="32" t="s">
        <v>17</v>
      </c>
      <c r="B118" s="8"/>
      <c r="C118" s="8"/>
      <c r="D118" s="8"/>
      <c r="E118" s="8" t="s">
        <v>266</v>
      </c>
      <c r="F118" s="8" t="s">
        <v>492</v>
      </c>
      <c r="G118" s="8" t="s">
        <v>500</v>
      </c>
      <c r="H118" s="8" t="s">
        <v>500</v>
      </c>
      <c r="I118" s="45">
        <f>I119</f>
        <v>4205.55</v>
      </c>
      <c r="J118" s="45">
        <f t="shared" ref="J118:K120" si="46">J119</f>
        <v>582.5</v>
      </c>
      <c r="K118" s="45">
        <f t="shared" si="46"/>
        <v>0</v>
      </c>
      <c r="L118" s="1"/>
    </row>
    <row r="119" spans="1:12" ht="31.5" outlineLevel="2" x14ac:dyDescent="0.25">
      <c r="A119" s="18" t="s">
        <v>57</v>
      </c>
      <c r="B119" s="8"/>
      <c r="C119" s="8"/>
      <c r="D119" s="8"/>
      <c r="E119" s="19" t="s">
        <v>267</v>
      </c>
      <c r="F119" s="19" t="s">
        <v>492</v>
      </c>
      <c r="G119" s="19" t="s">
        <v>500</v>
      </c>
      <c r="H119" s="19" t="s">
        <v>500</v>
      </c>
      <c r="I119" s="46">
        <f>I120+I122</f>
        <v>4205.55</v>
      </c>
      <c r="J119" s="46">
        <f t="shared" si="46"/>
        <v>582.5</v>
      </c>
      <c r="K119" s="46">
        <f t="shared" si="46"/>
        <v>0</v>
      </c>
      <c r="L119" s="1"/>
    </row>
    <row r="120" spans="1:12" ht="78.75" outlineLevel="3" x14ac:dyDescent="0.25">
      <c r="A120" s="18" t="s">
        <v>58</v>
      </c>
      <c r="B120" s="8"/>
      <c r="C120" s="8"/>
      <c r="D120" s="8"/>
      <c r="E120" s="19" t="s">
        <v>268</v>
      </c>
      <c r="F120" s="19" t="s">
        <v>492</v>
      </c>
      <c r="G120" s="19" t="s">
        <v>500</v>
      </c>
      <c r="H120" s="19" t="s">
        <v>500</v>
      </c>
      <c r="I120" s="46">
        <f>I121</f>
        <v>556.95000000000005</v>
      </c>
      <c r="J120" s="46">
        <f t="shared" si="46"/>
        <v>582.5</v>
      </c>
      <c r="K120" s="46">
        <f t="shared" si="46"/>
        <v>0</v>
      </c>
      <c r="L120" s="1"/>
    </row>
    <row r="121" spans="1:12" ht="50.25" customHeight="1" outlineLevel="4" x14ac:dyDescent="0.25">
      <c r="A121" s="18" t="s">
        <v>36</v>
      </c>
      <c r="B121" s="8"/>
      <c r="C121" s="8"/>
      <c r="D121" s="8"/>
      <c r="E121" s="19" t="s">
        <v>268</v>
      </c>
      <c r="F121" s="19" t="s">
        <v>497</v>
      </c>
      <c r="G121" s="19" t="s">
        <v>512</v>
      </c>
      <c r="H121" s="19" t="s">
        <v>505</v>
      </c>
      <c r="I121" s="46">
        <f>579.091-19.5-2.641</f>
        <v>556.95000000000005</v>
      </c>
      <c r="J121" s="46">
        <f>612.529-20.3-9.729</f>
        <v>582.5</v>
      </c>
      <c r="K121" s="46">
        <v>0</v>
      </c>
      <c r="L121" s="1"/>
    </row>
    <row r="122" spans="1:12" ht="79.5" customHeight="1" outlineLevel="4" x14ac:dyDescent="0.25">
      <c r="A122" s="40" t="s">
        <v>615</v>
      </c>
      <c r="B122" s="34"/>
      <c r="C122" s="8"/>
      <c r="D122" s="8"/>
      <c r="E122" s="33" t="s">
        <v>614</v>
      </c>
      <c r="F122" s="19" t="s">
        <v>492</v>
      </c>
      <c r="G122" s="19" t="s">
        <v>500</v>
      </c>
      <c r="H122" s="19" t="s">
        <v>500</v>
      </c>
      <c r="I122" s="46">
        <f>I123</f>
        <v>3648.6000000000004</v>
      </c>
      <c r="J122" s="46">
        <f t="shared" ref="J122:K122" si="47">J123</f>
        <v>0</v>
      </c>
      <c r="K122" s="46">
        <f t="shared" si="47"/>
        <v>0</v>
      </c>
      <c r="L122" s="1"/>
    </row>
    <row r="123" spans="1:12" ht="50.25" customHeight="1" outlineLevel="4" x14ac:dyDescent="0.25">
      <c r="A123" s="18" t="s">
        <v>36</v>
      </c>
      <c r="B123" s="8"/>
      <c r="C123" s="8"/>
      <c r="D123" s="8"/>
      <c r="E123" s="33" t="s">
        <v>614</v>
      </c>
      <c r="F123" s="19" t="s">
        <v>497</v>
      </c>
      <c r="G123" s="19" t="s">
        <v>512</v>
      </c>
      <c r="H123" s="19" t="s">
        <v>505</v>
      </c>
      <c r="I123" s="46">
        <f>3174.3+474.3</f>
        <v>3648.6000000000004</v>
      </c>
      <c r="J123" s="46">
        <v>0</v>
      </c>
      <c r="K123" s="46">
        <v>0</v>
      </c>
      <c r="L123" s="1"/>
    </row>
    <row r="124" spans="1:12" ht="36.75" customHeight="1" outlineLevel="3" x14ac:dyDescent="0.25">
      <c r="A124" s="32" t="s">
        <v>21</v>
      </c>
      <c r="B124" s="8"/>
      <c r="C124" s="8"/>
      <c r="D124" s="8"/>
      <c r="E124" s="8" t="s">
        <v>269</v>
      </c>
      <c r="F124" s="8" t="s">
        <v>492</v>
      </c>
      <c r="G124" s="8" t="s">
        <v>500</v>
      </c>
      <c r="H124" s="8" t="s">
        <v>500</v>
      </c>
      <c r="I124" s="45">
        <f>I125+I134+I140+I137</f>
        <v>63433.600000000006</v>
      </c>
      <c r="J124" s="45">
        <f t="shared" ref="J124:K124" si="48">J125+J134</f>
        <v>28735.599999999999</v>
      </c>
      <c r="K124" s="45">
        <f t="shared" si="48"/>
        <v>59273.58</v>
      </c>
      <c r="L124" s="1"/>
    </row>
    <row r="125" spans="1:12" ht="63" customHeight="1" outlineLevel="4" x14ac:dyDescent="0.25">
      <c r="A125" s="18" t="s">
        <v>60</v>
      </c>
      <c r="B125" s="8"/>
      <c r="C125" s="8"/>
      <c r="D125" s="8"/>
      <c r="E125" s="19" t="s">
        <v>270</v>
      </c>
      <c r="F125" s="19" t="s">
        <v>492</v>
      </c>
      <c r="G125" s="19" t="s">
        <v>500</v>
      </c>
      <c r="H125" s="19" t="s">
        <v>500</v>
      </c>
      <c r="I125" s="46">
        <f>I130+I132+I126+I128</f>
        <v>50642.200000000004</v>
      </c>
      <c r="J125" s="46">
        <f>J130</f>
        <v>28735.599999999999</v>
      </c>
      <c r="K125" s="46">
        <f>K130</f>
        <v>28735.599999999999</v>
      </c>
      <c r="L125" s="1"/>
    </row>
    <row r="126" spans="1:12" ht="20.25" customHeight="1" outlineLevel="4" x14ac:dyDescent="0.25">
      <c r="A126" s="40" t="s">
        <v>554</v>
      </c>
      <c r="B126" s="34"/>
      <c r="C126" s="8"/>
      <c r="D126" s="8"/>
      <c r="E126" s="33" t="s">
        <v>553</v>
      </c>
      <c r="F126" s="33" t="s">
        <v>492</v>
      </c>
      <c r="G126" s="33" t="s">
        <v>500</v>
      </c>
      <c r="H126" s="33" t="s">
        <v>500</v>
      </c>
      <c r="I126" s="46">
        <f>I127</f>
        <v>5950</v>
      </c>
      <c r="J126" s="46">
        <f t="shared" ref="J126:K126" si="49">J127</f>
        <v>0</v>
      </c>
      <c r="K126" s="46">
        <f t="shared" si="49"/>
        <v>0</v>
      </c>
      <c r="L126" s="1"/>
    </row>
    <row r="127" spans="1:12" ht="47.25" customHeight="1" outlineLevel="4" x14ac:dyDescent="0.25">
      <c r="A127" s="18" t="s">
        <v>36</v>
      </c>
      <c r="B127" s="8"/>
      <c r="C127" s="8"/>
      <c r="D127" s="8"/>
      <c r="E127" s="33" t="s">
        <v>553</v>
      </c>
      <c r="F127" s="33" t="s">
        <v>497</v>
      </c>
      <c r="G127" s="33" t="s">
        <v>512</v>
      </c>
      <c r="H127" s="33" t="s">
        <v>505</v>
      </c>
      <c r="I127" s="46">
        <f>5176.5+773.5</f>
        <v>5950</v>
      </c>
      <c r="J127" s="46">
        <v>0</v>
      </c>
      <c r="K127" s="46">
        <v>0</v>
      </c>
      <c r="L127" s="1"/>
    </row>
    <row r="128" spans="1:12" ht="63.75" customHeight="1" outlineLevel="4" x14ac:dyDescent="0.25">
      <c r="A128" s="40" t="s">
        <v>555</v>
      </c>
      <c r="B128" s="34"/>
      <c r="C128" s="8"/>
      <c r="D128" s="8"/>
      <c r="E128" s="33" t="s">
        <v>556</v>
      </c>
      <c r="F128" s="33" t="s">
        <v>492</v>
      </c>
      <c r="G128" s="33" t="s">
        <v>500</v>
      </c>
      <c r="H128" s="33" t="s">
        <v>500</v>
      </c>
      <c r="I128" s="46">
        <f>I129</f>
        <v>1853.9</v>
      </c>
      <c r="J128" s="46">
        <f t="shared" ref="J128:K128" si="50">J129</f>
        <v>0</v>
      </c>
      <c r="K128" s="46">
        <f t="shared" si="50"/>
        <v>0</v>
      </c>
      <c r="L128" s="1"/>
    </row>
    <row r="129" spans="1:12" ht="47.25" customHeight="1" outlineLevel="4" x14ac:dyDescent="0.25">
      <c r="A129" s="18" t="s">
        <v>36</v>
      </c>
      <c r="B129" s="8"/>
      <c r="C129" s="8"/>
      <c r="D129" s="8"/>
      <c r="E129" s="33" t="s">
        <v>556</v>
      </c>
      <c r="F129" s="33" t="s">
        <v>497</v>
      </c>
      <c r="G129" s="33" t="s">
        <v>512</v>
      </c>
      <c r="H129" s="33" t="s">
        <v>505</v>
      </c>
      <c r="I129" s="46">
        <f>1612.9+241</f>
        <v>1853.9</v>
      </c>
      <c r="J129" s="46">
        <v>0</v>
      </c>
      <c r="K129" s="46">
        <v>0</v>
      </c>
      <c r="L129" s="1"/>
    </row>
    <row r="130" spans="1:12" ht="78.75" outlineLevel="5" x14ac:dyDescent="0.25">
      <c r="A130" s="18" t="s">
        <v>61</v>
      </c>
      <c r="B130" s="8"/>
      <c r="C130" s="8"/>
      <c r="D130" s="8"/>
      <c r="E130" s="19" t="s">
        <v>271</v>
      </c>
      <c r="F130" s="19" t="s">
        <v>492</v>
      </c>
      <c r="G130" s="19" t="s">
        <v>500</v>
      </c>
      <c r="H130" s="19" t="s">
        <v>500</v>
      </c>
      <c r="I130" s="46">
        <f>I131</f>
        <v>28735.599999999999</v>
      </c>
      <c r="J130" s="46">
        <f t="shared" ref="J130:K130" si="51">J131</f>
        <v>28735.599999999999</v>
      </c>
      <c r="K130" s="46">
        <f t="shared" si="51"/>
        <v>28735.599999999999</v>
      </c>
      <c r="L130" s="1"/>
    </row>
    <row r="131" spans="1:12" ht="51.75" customHeight="1" outlineLevel="6" x14ac:dyDescent="0.25">
      <c r="A131" s="18" t="s">
        <v>36</v>
      </c>
      <c r="B131" s="8"/>
      <c r="C131" s="8"/>
      <c r="D131" s="8"/>
      <c r="E131" s="19" t="s">
        <v>271</v>
      </c>
      <c r="F131" s="19" t="s">
        <v>497</v>
      </c>
      <c r="G131" s="19" t="s">
        <v>512</v>
      </c>
      <c r="H131" s="19" t="s">
        <v>503</v>
      </c>
      <c r="I131" s="46">
        <v>28735.599999999999</v>
      </c>
      <c r="J131" s="46">
        <v>28735.599999999999</v>
      </c>
      <c r="K131" s="46">
        <v>28735.599999999999</v>
      </c>
      <c r="L131" s="1"/>
    </row>
    <row r="132" spans="1:12" ht="67.5" customHeight="1" outlineLevel="6" x14ac:dyDescent="0.25">
      <c r="A132" s="40" t="s">
        <v>552</v>
      </c>
      <c r="B132" s="34"/>
      <c r="C132" s="8"/>
      <c r="D132" s="8"/>
      <c r="E132" s="33" t="s">
        <v>551</v>
      </c>
      <c r="F132" s="33" t="s">
        <v>492</v>
      </c>
      <c r="G132" s="33" t="s">
        <v>500</v>
      </c>
      <c r="H132" s="33" t="s">
        <v>500</v>
      </c>
      <c r="I132" s="46">
        <f>I133</f>
        <v>14102.7</v>
      </c>
      <c r="J132" s="46">
        <f t="shared" ref="J132:K132" si="52">J133</f>
        <v>0</v>
      </c>
      <c r="K132" s="46">
        <f t="shared" si="52"/>
        <v>0</v>
      </c>
      <c r="L132" s="1"/>
    </row>
    <row r="133" spans="1:12" ht="51.75" customHeight="1" outlineLevel="6" x14ac:dyDescent="0.25">
      <c r="A133" s="18" t="s">
        <v>36</v>
      </c>
      <c r="B133" s="8"/>
      <c r="C133" s="8"/>
      <c r="D133" s="8"/>
      <c r="E133" s="33" t="s">
        <v>551</v>
      </c>
      <c r="F133" s="33" t="s">
        <v>497</v>
      </c>
      <c r="G133" s="33" t="s">
        <v>512</v>
      </c>
      <c r="H133" s="33" t="s">
        <v>502</v>
      </c>
      <c r="I133" s="46">
        <v>14102.7</v>
      </c>
      <c r="J133" s="46">
        <v>0</v>
      </c>
      <c r="K133" s="46">
        <v>0</v>
      </c>
      <c r="L133" s="1"/>
    </row>
    <row r="134" spans="1:12" ht="36" customHeight="1" outlineLevel="4" x14ac:dyDescent="0.25">
      <c r="A134" s="18" t="s">
        <v>63</v>
      </c>
      <c r="B134" s="8"/>
      <c r="C134" s="8"/>
      <c r="D134" s="8"/>
      <c r="E134" s="19" t="s">
        <v>272</v>
      </c>
      <c r="F134" s="19" t="s">
        <v>492</v>
      </c>
      <c r="G134" s="19" t="s">
        <v>500</v>
      </c>
      <c r="H134" s="19" t="s">
        <v>500</v>
      </c>
      <c r="I134" s="46">
        <f>I135</f>
        <v>0</v>
      </c>
      <c r="J134" s="46">
        <f t="shared" ref="J134:K134" si="53">J135</f>
        <v>0</v>
      </c>
      <c r="K134" s="46">
        <f t="shared" si="53"/>
        <v>30537.98</v>
      </c>
      <c r="L134" s="1"/>
    </row>
    <row r="135" spans="1:12" ht="49.5" customHeight="1" outlineLevel="5" x14ac:dyDescent="0.25">
      <c r="A135" s="18" t="s">
        <v>64</v>
      </c>
      <c r="B135" s="8"/>
      <c r="C135" s="8"/>
      <c r="D135" s="8"/>
      <c r="E135" s="19" t="s">
        <v>273</v>
      </c>
      <c r="F135" s="19" t="s">
        <v>492</v>
      </c>
      <c r="G135" s="19" t="s">
        <v>500</v>
      </c>
      <c r="H135" s="19" t="s">
        <v>500</v>
      </c>
      <c r="I135" s="46">
        <f>I136</f>
        <v>0</v>
      </c>
      <c r="J135" s="46">
        <f t="shared" ref="J135:K135" si="54">J136</f>
        <v>0</v>
      </c>
      <c r="K135" s="46">
        <f t="shared" si="54"/>
        <v>30537.98</v>
      </c>
      <c r="L135" s="1"/>
    </row>
    <row r="136" spans="1:12" ht="52.5" customHeight="1" outlineLevel="6" x14ac:dyDescent="0.25">
      <c r="A136" s="18" t="s">
        <v>36</v>
      </c>
      <c r="B136" s="8"/>
      <c r="C136" s="8"/>
      <c r="D136" s="8"/>
      <c r="E136" s="19" t="s">
        <v>273</v>
      </c>
      <c r="F136" s="19" t="s">
        <v>497</v>
      </c>
      <c r="G136" s="19" t="s">
        <v>512</v>
      </c>
      <c r="H136" s="19" t="s">
        <v>502</v>
      </c>
      <c r="I136" s="46">
        <v>0</v>
      </c>
      <c r="J136" s="46">
        <v>0</v>
      </c>
      <c r="K136" s="46">
        <v>30537.98</v>
      </c>
      <c r="L136" s="1"/>
    </row>
    <row r="137" spans="1:12" ht="52.5" customHeight="1" outlineLevel="6" x14ac:dyDescent="0.25">
      <c r="A137" s="18" t="s">
        <v>672</v>
      </c>
      <c r="B137" s="8"/>
      <c r="C137" s="8"/>
      <c r="D137" s="8"/>
      <c r="E137" s="33" t="s">
        <v>670</v>
      </c>
      <c r="F137" s="33" t="s">
        <v>492</v>
      </c>
      <c r="G137" s="33" t="s">
        <v>500</v>
      </c>
      <c r="H137" s="33" t="s">
        <v>500</v>
      </c>
      <c r="I137" s="46">
        <f>I138</f>
        <v>12413.8</v>
      </c>
      <c r="J137" s="46">
        <f t="shared" ref="J137:K138" si="55">J138</f>
        <v>0</v>
      </c>
      <c r="K137" s="46">
        <f t="shared" si="55"/>
        <v>0</v>
      </c>
      <c r="L137" s="1"/>
    </row>
    <row r="138" spans="1:12" ht="33.75" customHeight="1" outlineLevel="6" x14ac:dyDescent="0.25">
      <c r="A138" s="18" t="s">
        <v>673</v>
      </c>
      <c r="B138" s="8"/>
      <c r="C138" s="8"/>
      <c r="D138" s="8"/>
      <c r="E138" s="33" t="s">
        <v>671</v>
      </c>
      <c r="F138" s="33" t="s">
        <v>492</v>
      </c>
      <c r="G138" s="33" t="s">
        <v>500</v>
      </c>
      <c r="H138" s="33" t="s">
        <v>500</v>
      </c>
      <c r="I138" s="46">
        <f>I139</f>
        <v>12413.8</v>
      </c>
      <c r="J138" s="46">
        <f t="shared" si="55"/>
        <v>0</v>
      </c>
      <c r="K138" s="46">
        <f t="shared" si="55"/>
        <v>0</v>
      </c>
      <c r="L138" s="1"/>
    </row>
    <row r="139" spans="1:12" ht="52.5" customHeight="1" outlineLevel="6" x14ac:dyDescent="0.25">
      <c r="A139" s="18" t="s">
        <v>36</v>
      </c>
      <c r="B139" s="8"/>
      <c r="C139" s="8"/>
      <c r="D139" s="8"/>
      <c r="E139" s="33" t="s">
        <v>671</v>
      </c>
      <c r="F139" s="33" t="s">
        <v>497</v>
      </c>
      <c r="G139" s="33" t="s">
        <v>512</v>
      </c>
      <c r="H139" s="33" t="s">
        <v>505</v>
      </c>
      <c r="I139" s="46">
        <f>10800+1613.8</f>
        <v>12413.8</v>
      </c>
      <c r="J139" s="46">
        <v>0</v>
      </c>
      <c r="K139" s="46">
        <v>0</v>
      </c>
      <c r="L139" s="1"/>
    </row>
    <row r="140" spans="1:12" ht="47.25" customHeight="1" outlineLevel="6" x14ac:dyDescent="0.25">
      <c r="A140" s="18" t="s">
        <v>658</v>
      </c>
      <c r="B140" s="8"/>
      <c r="C140" s="8"/>
      <c r="D140" s="8"/>
      <c r="E140" s="33" t="s">
        <v>660</v>
      </c>
      <c r="F140" s="33" t="s">
        <v>492</v>
      </c>
      <c r="G140" s="33" t="s">
        <v>500</v>
      </c>
      <c r="H140" s="33" t="s">
        <v>500</v>
      </c>
      <c r="I140" s="46">
        <f>I141</f>
        <v>377.6</v>
      </c>
      <c r="J140" s="46">
        <f t="shared" ref="J140:K141" si="56">J141</f>
        <v>0</v>
      </c>
      <c r="K140" s="46">
        <f t="shared" si="56"/>
        <v>0</v>
      </c>
      <c r="L140" s="1"/>
    </row>
    <row r="141" spans="1:12" ht="93.75" customHeight="1" outlineLevel="6" x14ac:dyDescent="0.25">
      <c r="A141" s="18" t="s">
        <v>659</v>
      </c>
      <c r="B141" s="8"/>
      <c r="C141" s="8"/>
      <c r="D141" s="8"/>
      <c r="E141" s="33" t="s">
        <v>661</v>
      </c>
      <c r="F141" s="33" t="s">
        <v>492</v>
      </c>
      <c r="G141" s="33" t="s">
        <v>500</v>
      </c>
      <c r="H141" s="33" t="s">
        <v>500</v>
      </c>
      <c r="I141" s="46">
        <f>I142</f>
        <v>377.6</v>
      </c>
      <c r="J141" s="46">
        <f t="shared" si="56"/>
        <v>0</v>
      </c>
      <c r="K141" s="46">
        <f t="shared" si="56"/>
        <v>0</v>
      </c>
      <c r="L141" s="1"/>
    </row>
    <row r="142" spans="1:12" ht="52.5" customHeight="1" outlineLevel="6" x14ac:dyDescent="0.25">
      <c r="A142" s="18" t="s">
        <v>36</v>
      </c>
      <c r="B142" s="8"/>
      <c r="C142" s="8"/>
      <c r="D142" s="8"/>
      <c r="E142" s="33" t="s">
        <v>661</v>
      </c>
      <c r="F142" s="33" t="s">
        <v>497</v>
      </c>
      <c r="G142" s="33" t="s">
        <v>512</v>
      </c>
      <c r="H142" s="33" t="s">
        <v>503</v>
      </c>
      <c r="I142" s="46">
        <v>377.6</v>
      </c>
      <c r="J142" s="46">
        <v>0</v>
      </c>
      <c r="K142" s="46">
        <v>0</v>
      </c>
      <c r="L142" s="1"/>
    </row>
    <row r="143" spans="1:12" ht="19.5" customHeight="1" outlineLevel="4" x14ac:dyDescent="0.25">
      <c r="A143" s="32" t="s">
        <v>24</v>
      </c>
      <c r="B143" s="8"/>
      <c r="C143" s="8"/>
      <c r="D143" s="8"/>
      <c r="E143" s="8" t="s">
        <v>274</v>
      </c>
      <c r="F143" s="8" t="s">
        <v>492</v>
      </c>
      <c r="G143" s="8" t="s">
        <v>500</v>
      </c>
      <c r="H143" s="8" t="s">
        <v>500</v>
      </c>
      <c r="I143" s="45">
        <f>I144+I153+I156+I166</f>
        <v>204662.54009999998</v>
      </c>
      <c r="J143" s="45">
        <f t="shared" ref="J143:K143" si="57">J144+J153+J156+J166</f>
        <v>138259.10399999999</v>
      </c>
      <c r="K143" s="45">
        <f t="shared" si="57"/>
        <v>137265.095</v>
      </c>
      <c r="L143" s="1"/>
    </row>
    <row r="144" spans="1:12" ht="51" customHeight="1" outlineLevel="5" x14ac:dyDescent="0.25">
      <c r="A144" s="18" t="s">
        <v>25</v>
      </c>
      <c r="B144" s="8"/>
      <c r="C144" s="8"/>
      <c r="D144" s="8"/>
      <c r="E144" s="19" t="s">
        <v>275</v>
      </c>
      <c r="F144" s="19" t="s">
        <v>492</v>
      </c>
      <c r="G144" s="19" t="s">
        <v>500</v>
      </c>
      <c r="H144" s="19" t="s">
        <v>500</v>
      </c>
      <c r="I144" s="46">
        <f>I145+I148+I150</f>
        <v>9321.6569999999992</v>
      </c>
      <c r="J144" s="46">
        <f t="shared" ref="J144:K144" si="58">J145+J148+J150</f>
        <v>8152.7289999999994</v>
      </c>
      <c r="K144" s="46">
        <f t="shared" si="58"/>
        <v>8143</v>
      </c>
      <c r="L144" s="1"/>
    </row>
    <row r="145" spans="1:12" ht="47.25" outlineLevel="6" x14ac:dyDescent="0.25">
      <c r="A145" s="18" t="s">
        <v>26</v>
      </c>
      <c r="B145" s="8"/>
      <c r="C145" s="8"/>
      <c r="D145" s="8"/>
      <c r="E145" s="19" t="s">
        <v>276</v>
      </c>
      <c r="F145" s="19" t="s">
        <v>492</v>
      </c>
      <c r="G145" s="19" t="s">
        <v>500</v>
      </c>
      <c r="H145" s="19" t="s">
        <v>500</v>
      </c>
      <c r="I145" s="46">
        <f>I146+I147</f>
        <v>5422.5</v>
      </c>
      <c r="J145" s="46">
        <f t="shared" ref="J145:K145" si="59">J146+J147</f>
        <v>4623.3999999999996</v>
      </c>
      <c r="K145" s="46">
        <f t="shared" si="59"/>
        <v>4623.3999999999996</v>
      </c>
      <c r="L145" s="1"/>
    </row>
    <row r="146" spans="1:12" ht="111" customHeight="1" outlineLevel="3" x14ac:dyDescent="0.25">
      <c r="A146" s="18" t="s">
        <v>27</v>
      </c>
      <c r="B146" s="8"/>
      <c r="C146" s="8"/>
      <c r="D146" s="8"/>
      <c r="E146" s="19" t="s">
        <v>276</v>
      </c>
      <c r="F146" s="19" t="s">
        <v>494</v>
      </c>
      <c r="G146" s="19" t="s">
        <v>512</v>
      </c>
      <c r="H146" s="19" t="s">
        <v>501</v>
      </c>
      <c r="I146" s="46">
        <f>4533.4+270.4613+454.5387+74.1</f>
        <v>5332.5</v>
      </c>
      <c r="J146" s="46">
        <v>4533.3999999999996</v>
      </c>
      <c r="K146" s="46">
        <v>4533.3999999999996</v>
      </c>
      <c r="L146" s="1"/>
    </row>
    <row r="147" spans="1:12" ht="47.25" outlineLevel="6" x14ac:dyDescent="0.25">
      <c r="A147" s="18" t="s">
        <v>30</v>
      </c>
      <c r="B147" s="8"/>
      <c r="C147" s="8"/>
      <c r="D147" s="8"/>
      <c r="E147" s="19" t="s">
        <v>276</v>
      </c>
      <c r="F147" s="19" t="s">
        <v>495</v>
      </c>
      <c r="G147" s="19" t="s">
        <v>512</v>
      </c>
      <c r="H147" s="19" t="s">
        <v>501</v>
      </c>
      <c r="I147" s="46">
        <v>90</v>
      </c>
      <c r="J147" s="46">
        <v>90</v>
      </c>
      <c r="K147" s="46">
        <v>90</v>
      </c>
      <c r="L147" s="1"/>
    </row>
    <row r="148" spans="1:12" ht="47.25" outlineLevel="5" x14ac:dyDescent="0.25">
      <c r="A148" s="18" t="s">
        <v>65</v>
      </c>
      <c r="B148" s="8"/>
      <c r="C148" s="8"/>
      <c r="D148" s="8"/>
      <c r="E148" s="19" t="s">
        <v>277</v>
      </c>
      <c r="F148" s="19" t="s">
        <v>492</v>
      </c>
      <c r="G148" s="19" t="s">
        <v>500</v>
      </c>
      <c r="H148" s="19" t="s">
        <v>500</v>
      </c>
      <c r="I148" s="46">
        <f>I149</f>
        <v>6</v>
      </c>
      <c r="J148" s="46">
        <f t="shared" ref="J148:K148" si="60">J149</f>
        <v>6</v>
      </c>
      <c r="K148" s="46">
        <f t="shared" si="60"/>
        <v>6</v>
      </c>
      <c r="L148" s="1"/>
    </row>
    <row r="149" spans="1:12" ht="31.5" outlineLevel="6" x14ac:dyDescent="0.25">
      <c r="A149" s="18" t="s">
        <v>45</v>
      </c>
      <c r="B149" s="8"/>
      <c r="C149" s="8"/>
      <c r="D149" s="8"/>
      <c r="E149" s="19" t="s">
        <v>277</v>
      </c>
      <c r="F149" s="19" t="s">
        <v>498</v>
      </c>
      <c r="G149" s="19" t="s">
        <v>508</v>
      </c>
      <c r="H149" s="19" t="s">
        <v>505</v>
      </c>
      <c r="I149" s="46">
        <v>6</v>
      </c>
      <c r="J149" s="46">
        <v>6</v>
      </c>
      <c r="K149" s="46">
        <v>6</v>
      </c>
      <c r="L149" s="1"/>
    </row>
    <row r="150" spans="1:12" ht="47.25" outlineLevel="5" x14ac:dyDescent="0.25">
      <c r="A150" s="18" t="s">
        <v>31</v>
      </c>
      <c r="B150" s="8"/>
      <c r="C150" s="8"/>
      <c r="D150" s="8"/>
      <c r="E150" s="19" t="s">
        <v>278</v>
      </c>
      <c r="F150" s="19" t="s">
        <v>492</v>
      </c>
      <c r="G150" s="19" t="s">
        <v>500</v>
      </c>
      <c r="H150" s="19" t="s">
        <v>500</v>
      </c>
      <c r="I150" s="46">
        <f>I151+I152</f>
        <v>3893.1570000000002</v>
      </c>
      <c r="J150" s="46">
        <f t="shared" ref="J150:K150" si="61">J151+J152</f>
        <v>3523.3289999999997</v>
      </c>
      <c r="K150" s="46">
        <f t="shared" si="61"/>
        <v>3513.6</v>
      </c>
      <c r="L150" s="1"/>
    </row>
    <row r="151" spans="1:12" ht="108.75" customHeight="1" outlineLevel="6" x14ac:dyDescent="0.25">
      <c r="A151" s="18" t="s">
        <v>27</v>
      </c>
      <c r="B151" s="8"/>
      <c r="C151" s="8"/>
      <c r="D151" s="8"/>
      <c r="E151" s="19" t="s">
        <v>278</v>
      </c>
      <c r="F151" s="19" t="s">
        <v>494</v>
      </c>
      <c r="G151" s="19" t="s">
        <v>512</v>
      </c>
      <c r="H151" s="19" t="s">
        <v>501</v>
      </c>
      <c r="I151" s="46">
        <f>3257.7+162+181.916+33</f>
        <v>3634.616</v>
      </c>
      <c r="J151" s="46">
        <v>3257.7</v>
      </c>
      <c r="K151" s="46">
        <v>3257.7</v>
      </c>
      <c r="L151" s="1"/>
    </row>
    <row r="152" spans="1:12" ht="46.5" customHeight="1" outlineLevel="4" x14ac:dyDescent="0.25">
      <c r="A152" s="18" t="s">
        <v>30</v>
      </c>
      <c r="B152" s="8"/>
      <c r="C152" s="8"/>
      <c r="D152" s="8"/>
      <c r="E152" s="19" t="s">
        <v>278</v>
      </c>
      <c r="F152" s="19" t="s">
        <v>495</v>
      </c>
      <c r="G152" s="19" t="s">
        <v>512</v>
      </c>
      <c r="H152" s="19" t="s">
        <v>501</v>
      </c>
      <c r="I152" s="46">
        <f>255.9+2.641</f>
        <v>258.541</v>
      </c>
      <c r="J152" s="46">
        <f>255.9+9.729</f>
        <v>265.62900000000002</v>
      </c>
      <c r="K152" s="46">
        <v>255.9</v>
      </c>
      <c r="L152" s="1"/>
    </row>
    <row r="153" spans="1:12" ht="63" outlineLevel="3" x14ac:dyDescent="0.25">
      <c r="A153" s="18" t="s">
        <v>66</v>
      </c>
      <c r="B153" s="8"/>
      <c r="C153" s="8"/>
      <c r="D153" s="8"/>
      <c r="E153" s="19" t="s">
        <v>279</v>
      </c>
      <c r="F153" s="19" t="s">
        <v>492</v>
      </c>
      <c r="G153" s="19" t="s">
        <v>500</v>
      </c>
      <c r="H153" s="19" t="s">
        <v>500</v>
      </c>
      <c r="I153" s="46">
        <f>I154</f>
        <v>105583.80459999999</v>
      </c>
      <c r="J153" s="46">
        <f t="shared" ref="J153:K154" si="62">J154</f>
        <v>86606.375</v>
      </c>
      <c r="K153" s="46">
        <f t="shared" si="62"/>
        <v>85622.095000000001</v>
      </c>
      <c r="L153" s="1"/>
    </row>
    <row r="154" spans="1:12" ht="49.5" customHeight="1" outlineLevel="4" x14ac:dyDescent="0.25">
      <c r="A154" s="18" t="s">
        <v>67</v>
      </c>
      <c r="B154" s="8"/>
      <c r="C154" s="8"/>
      <c r="D154" s="8"/>
      <c r="E154" s="19" t="s">
        <v>280</v>
      </c>
      <c r="F154" s="19" t="s">
        <v>492</v>
      </c>
      <c r="G154" s="19" t="s">
        <v>500</v>
      </c>
      <c r="H154" s="19" t="s">
        <v>500</v>
      </c>
      <c r="I154" s="46">
        <f>I155</f>
        <v>105583.80459999999</v>
      </c>
      <c r="J154" s="46">
        <f t="shared" si="62"/>
        <v>86606.375</v>
      </c>
      <c r="K154" s="46">
        <f t="shared" si="62"/>
        <v>85622.095000000001</v>
      </c>
      <c r="L154" s="1"/>
    </row>
    <row r="155" spans="1:12" ht="55.5" customHeight="1" outlineLevel="5" x14ac:dyDescent="0.25">
      <c r="A155" s="18" t="s">
        <v>36</v>
      </c>
      <c r="B155" s="8"/>
      <c r="C155" s="8"/>
      <c r="D155" s="8"/>
      <c r="E155" s="19" t="s">
        <v>280</v>
      </c>
      <c r="F155" s="19" t="s">
        <v>497</v>
      </c>
      <c r="G155" s="19" t="s">
        <v>512</v>
      </c>
      <c r="H155" s="19" t="s">
        <v>503</v>
      </c>
      <c r="I155" s="46">
        <f>88257.748+4077.3+365.0205+1537.5465-2988.119-3827.413+18815.532-1613.8+959.9896</f>
        <v>105583.80459999999</v>
      </c>
      <c r="J155" s="46">
        <f>86546.375+60</f>
        <v>86606.375</v>
      </c>
      <c r="K155" s="46">
        <f>85562.095+60</f>
        <v>85622.095000000001</v>
      </c>
      <c r="L155" s="1"/>
    </row>
    <row r="156" spans="1:12" ht="114" customHeight="1" outlineLevel="4" x14ac:dyDescent="0.25">
      <c r="A156" s="18" t="s">
        <v>68</v>
      </c>
      <c r="B156" s="8"/>
      <c r="C156" s="8"/>
      <c r="D156" s="8"/>
      <c r="E156" s="19" t="s">
        <v>281</v>
      </c>
      <c r="F156" s="19" t="s">
        <v>492</v>
      </c>
      <c r="G156" s="19" t="s">
        <v>500</v>
      </c>
      <c r="H156" s="19" t="s">
        <v>500</v>
      </c>
      <c r="I156" s="46">
        <f>I157+I161+I163</f>
        <v>1032.9794999999999</v>
      </c>
      <c r="J156" s="46">
        <f t="shared" ref="J156:K156" si="63">J157+J161+J163</f>
        <v>1500</v>
      </c>
      <c r="K156" s="46">
        <f t="shared" si="63"/>
        <v>1500</v>
      </c>
      <c r="L156" s="1"/>
    </row>
    <row r="157" spans="1:12" ht="47.25" hidden="1" outlineLevel="5" x14ac:dyDescent="0.25">
      <c r="A157" s="18" t="s">
        <v>69</v>
      </c>
      <c r="B157" s="8"/>
      <c r="C157" s="8"/>
      <c r="D157" s="8"/>
      <c r="E157" s="19" t="s">
        <v>282</v>
      </c>
      <c r="F157" s="19" t="s">
        <v>492</v>
      </c>
      <c r="G157" s="19" t="s">
        <v>500</v>
      </c>
      <c r="H157" s="19" t="s">
        <v>500</v>
      </c>
      <c r="I157" s="46">
        <f>I158</f>
        <v>0</v>
      </c>
      <c r="J157" s="46">
        <f t="shared" ref="J157:K157" si="64">J158</f>
        <v>0</v>
      </c>
      <c r="K157" s="46">
        <f t="shared" si="64"/>
        <v>0</v>
      </c>
      <c r="L157" s="1"/>
    </row>
    <row r="158" spans="1:12" ht="51.75" hidden="1" customHeight="1" outlineLevel="6" x14ac:dyDescent="0.25">
      <c r="A158" s="18" t="s">
        <v>36</v>
      </c>
      <c r="B158" s="8"/>
      <c r="C158" s="8"/>
      <c r="D158" s="8"/>
      <c r="E158" s="19" t="s">
        <v>282</v>
      </c>
      <c r="F158" s="19" t="s">
        <v>497</v>
      </c>
      <c r="G158" s="19" t="s">
        <v>512</v>
      </c>
      <c r="H158" s="19" t="s">
        <v>503</v>
      </c>
      <c r="I158" s="46">
        <f>20-20</f>
        <v>0</v>
      </c>
      <c r="J158" s="46">
        <f>20-20</f>
        <v>0</v>
      </c>
      <c r="K158" s="46">
        <f>20-20</f>
        <v>0</v>
      </c>
      <c r="L158" s="1"/>
    </row>
    <row r="159" spans="1:12" ht="31.5" hidden="1" x14ac:dyDescent="0.25">
      <c r="A159" s="18" t="s">
        <v>59</v>
      </c>
      <c r="B159" s="8"/>
      <c r="C159" s="8"/>
      <c r="D159" s="8"/>
      <c r="E159" s="19" t="s">
        <v>282</v>
      </c>
      <c r="F159" s="19" t="s">
        <v>497</v>
      </c>
      <c r="G159" s="19" t="s">
        <v>512</v>
      </c>
      <c r="H159" s="19" t="s">
        <v>500</v>
      </c>
      <c r="I159" s="46">
        <v>20</v>
      </c>
      <c r="J159" s="46">
        <v>20</v>
      </c>
      <c r="K159" s="46">
        <v>20</v>
      </c>
      <c r="L159" s="1"/>
    </row>
    <row r="160" spans="1:12" ht="21.75" hidden="1" customHeight="1" outlineLevel="1" x14ac:dyDescent="0.25">
      <c r="A160" s="18" t="s">
        <v>62</v>
      </c>
      <c r="B160" s="8"/>
      <c r="C160" s="8"/>
      <c r="D160" s="8"/>
      <c r="E160" s="19" t="s">
        <v>282</v>
      </c>
      <c r="F160" s="19" t="s">
        <v>497</v>
      </c>
      <c r="G160" s="19" t="s">
        <v>512</v>
      </c>
      <c r="H160" s="19" t="s">
        <v>503</v>
      </c>
      <c r="I160" s="46">
        <v>20</v>
      </c>
      <c r="J160" s="46">
        <v>20</v>
      </c>
      <c r="K160" s="46">
        <v>20</v>
      </c>
      <c r="L160" s="1"/>
    </row>
    <row r="161" spans="1:12" ht="64.5" hidden="1" customHeight="1" outlineLevel="2" x14ac:dyDescent="0.25">
      <c r="A161" s="18" t="s">
        <v>70</v>
      </c>
      <c r="B161" s="8"/>
      <c r="C161" s="8"/>
      <c r="D161" s="8"/>
      <c r="E161" s="19" t="s">
        <v>283</v>
      </c>
      <c r="F161" s="19" t="s">
        <v>492</v>
      </c>
      <c r="G161" s="19" t="s">
        <v>500</v>
      </c>
      <c r="H161" s="19" t="s">
        <v>500</v>
      </c>
      <c r="I161" s="46">
        <f>I162</f>
        <v>0</v>
      </c>
      <c r="J161" s="46">
        <f t="shared" ref="J161:K161" si="65">J162</f>
        <v>0</v>
      </c>
      <c r="K161" s="46">
        <f t="shared" si="65"/>
        <v>0</v>
      </c>
      <c r="L161" s="1"/>
    </row>
    <row r="162" spans="1:12" ht="49.5" hidden="1" customHeight="1" outlineLevel="3" x14ac:dyDescent="0.25">
      <c r="A162" s="18" t="s">
        <v>36</v>
      </c>
      <c r="B162" s="8"/>
      <c r="C162" s="8"/>
      <c r="D162" s="8"/>
      <c r="E162" s="19" t="s">
        <v>283</v>
      </c>
      <c r="F162" s="19" t="s">
        <v>497</v>
      </c>
      <c r="G162" s="19" t="s">
        <v>512</v>
      </c>
      <c r="H162" s="19" t="s">
        <v>503</v>
      </c>
      <c r="I162" s="46">
        <f>40-40</f>
        <v>0</v>
      </c>
      <c r="J162" s="46">
        <f>40-40</f>
        <v>0</v>
      </c>
      <c r="K162" s="46">
        <f>40-40</f>
        <v>0</v>
      </c>
      <c r="L162" s="1"/>
    </row>
    <row r="163" spans="1:12" ht="48" customHeight="1" outlineLevel="6" x14ac:dyDescent="0.25">
      <c r="A163" s="18" t="s">
        <v>71</v>
      </c>
      <c r="B163" s="8"/>
      <c r="C163" s="8"/>
      <c r="D163" s="8"/>
      <c r="E163" s="19" t="s">
        <v>284</v>
      </c>
      <c r="F163" s="19" t="s">
        <v>492</v>
      </c>
      <c r="G163" s="19" t="s">
        <v>500</v>
      </c>
      <c r="H163" s="19" t="s">
        <v>500</v>
      </c>
      <c r="I163" s="46">
        <f>I164+I165</f>
        <v>1032.9794999999999</v>
      </c>
      <c r="J163" s="46">
        <f t="shared" ref="J163:K163" si="66">J164+J165</f>
        <v>1500</v>
      </c>
      <c r="K163" s="46">
        <f t="shared" si="66"/>
        <v>1500</v>
      </c>
      <c r="L163" s="1"/>
    </row>
    <row r="164" spans="1:12" ht="48" customHeight="1" outlineLevel="6" x14ac:dyDescent="0.25">
      <c r="A164" s="18" t="s">
        <v>36</v>
      </c>
      <c r="B164" s="8"/>
      <c r="C164" s="8"/>
      <c r="D164" s="8"/>
      <c r="E164" s="19" t="s">
        <v>284</v>
      </c>
      <c r="F164" s="19" t="s">
        <v>497</v>
      </c>
      <c r="G164" s="19" t="s">
        <v>512</v>
      </c>
      <c r="H164" s="19" t="s">
        <v>503</v>
      </c>
      <c r="I164" s="46">
        <f>500-214.38+214.38</f>
        <v>500</v>
      </c>
      <c r="J164" s="46">
        <v>500</v>
      </c>
      <c r="K164" s="46">
        <v>500</v>
      </c>
      <c r="L164" s="1"/>
    </row>
    <row r="165" spans="1:12" ht="48" customHeight="1" outlineLevel="2" x14ac:dyDescent="0.25">
      <c r="A165" s="18" t="s">
        <v>36</v>
      </c>
      <c r="B165" s="8"/>
      <c r="C165" s="8"/>
      <c r="D165" s="8"/>
      <c r="E165" s="19" t="s">
        <v>284</v>
      </c>
      <c r="F165" s="19" t="s">
        <v>497</v>
      </c>
      <c r="G165" s="19" t="s">
        <v>512</v>
      </c>
      <c r="H165" s="19" t="s">
        <v>502</v>
      </c>
      <c r="I165" s="46">
        <f>1000-467.0205</f>
        <v>532.97949999999992</v>
      </c>
      <c r="J165" s="46">
        <v>1000</v>
      </c>
      <c r="K165" s="46">
        <v>1000</v>
      </c>
      <c r="L165" s="1"/>
    </row>
    <row r="166" spans="1:12" ht="63" outlineLevel="3" x14ac:dyDescent="0.25">
      <c r="A166" s="18" t="s">
        <v>72</v>
      </c>
      <c r="B166" s="8"/>
      <c r="C166" s="8"/>
      <c r="D166" s="8"/>
      <c r="E166" s="19" t="s">
        <v>285</v>
      </c>
      <c r="F166" s="19" t="s">
        <v>492</v>
      </c>
      <c r="G166" s="19" t="s">
        <v>500</v>
      </c>
      <c r="H166" s="19" t="s">
        <v>500</v>
      </c>
      <c r="I166" s="46">
        <f>I167</f>
        <v>88724.099000000002</v>
      </c>
      <c r="J166" s="46">
        <f t="shared" ref="J166:K167" si="67">J167</f>
        <v>42000</v>
      </c>
      <c r="K166" s="46">
        <f t="shared" si="67"/>
        <v>42000</v>
      </c>
      <c r="L166" s="1"/>
    </row>
    <row r="167" spans="1:12" ht="77.25" customHeight="1" outlineLevel="4" x14ac:dyDescent="0.25">
      <c r="A167" s="18" t="s">
        <v>73</v>
      </c>
      <c r="B167" s="8"/>
      <c r="C167" s="8"/>
      <c r="D167" s="8"/>
      <c r="E167" s="19" t="s">
        <v>286</v>
      </c>
      <c r="F167" s="19" t="s">
        <v>492</v>
      </c>
      <c r="G167" s="19" t="s">
        <v>500</v>
      </c>
      <c r="H167" s="19" t="s">
        <v>500</v>
      </c>
      <c r="I167" s="46">
        <f>I168</f>
        <v>88724.099000000002</v>
      </c>
      <c r="J167" s="46">
        <f t="shared" si="67"/>
        <v>42000</v>
      </c>
      <c r="K167" s="46">
        <f t="shared" si="67"/>
        <v>42000</v>
      </c>
      <c r="L167" s="1"/>
    </row>
    <row r="168" spans="1:12" ht="46.5" customHeight="1" outlineLevel="5" x14ac:dyDescent="0.25">
      <c r="A168" s="18" t="s">
        <v>36</v>
      </c>
      <c r="B168" s="8"/>
      <c r="C168" s="8"/>
      <c r="D168" s="8"/>
      <c r="E168" s="19" t="s">
        <v>286</v>
      </c>
      <c r="F168" s="19">
        <v>600</v>
      </c>
      <c r="G168" s="19">
        <v>11</v>
      </c>
      <c r="H168" s="33" t="s">
        <v>503</v>
      </c>
      <c r="I168" s="46">
        <f>42000+3202.499+3827.413+26172.587+13521.6</f>
        <v>88724.099000000002</v>
      </c>
      <c r="J168" s="46">
        <v>42000</v>
      </c>
      <c r="K168" s="46">
        <v>42000</v>
      </c>
      <c r="L168" s="1"/>
    </row>
    <row r="169" spans="1:12" ht="33" customHeight="1" outlineLevel="6" x14ac:dyDescent="0.25">
      <c r="A169" s="29" t="s">
        <v>74</v>
      </c>
      <c r="B169" s="30"/>
      <c r="C169" s="30"/>
      <c r="D169" s="30"/>
      <c r="E169" s="31" t="s">
        <v>287</v>
      </c>
      <c r="F169" s="31" t="s">
        <v>492</v>
      </c>
      <c r="G169" s="31" t="s">
        <v>500</v>
      </c>
      <c r="H169" s="31" t="s">
        <v>500</v>
      </c>
      <c r="I169" s="44">
        <f>I174+I170</f>
        <v>6264.5</v>
      </c>
      <c r="J169" s="44">
        <f t="shared" ref="J169:K169" si="68">J174</f>
        <v>5100</v>
      </c>
      <c r="K169" s="44">
        <f t="shared" si="68"/>
        <v>5100</v>
      </c>
      <c r="L169" s="1"/>
    </row>
    <row r="170" spans="1:12" ht="33" customHeight="1" outlineLevel="6" x14ac:dyDescent="0.25">
      <c r="A170" s="32" t="s">
        <v>21</v>
      </c>
      <c r="B170" s="30"/>
      <c r="C170" s="30"/>
      <c r="D170" s="30"/>
      <c r="E170" s="8" t="s">
        <v>653</v>
      </c>
      <c r="F170" s="8" t="s">
        <v>492</v>
      </c>
      <c r="G170" s="8" t="s">
        <v>500</v>
      </c>
      <c r="H170" s="8" t="s">
        <v>500</v>
      </c>
      <c r="I170" s="45">
        <f>I171</f>
        <v>595</v>
      </c>
      <c r="J170" s="45">
        <f t="shared" ref="J170:K172" si="69">J171</f>
        <v>0</v>
      </c>
      <c r="K170" s="45">
        <f t="shared" si="69"/>
        <v>0</v>
      </c>
      <c r="L170" s="1"/>
    </row>
    <row r="171" spans="1:12" ht="65.25" customHeight="1" outlineLevel="6" x14ac:dyDescent="0.25">
      <c r="A171" s="18" t="s">
        <v>651</v>
      </c>
      <c r="B171" s="30"/>
      <c r="C171" s="30"/>
      <c r="D171" s="30"/>
      <c r="E171" s="19" t="s">
        <v>654</v>
      </c>
      <c r="F171" s="19" t="s">
        <v>492</v>
      </c>
      <c r="G171" s="19" t="s">
        <v>500</v>
      </c>
      <c r="H171" s="19" t="s">
        <v>500</v>
      </c>
      <c r="I171" s="46">
        <f>I172</f>
        <v>595</v>
      </c>
      <c r="J171" s="46">
        <f t="shared" si="69"/>
        <v>0</v>
      </c>
      <c r="K171" s="46">
        <f t="shared" si="69"/>
        <v>0</v>
      </c>
      <c r="L171" s="1"/>
    </row>
    <row r="172" spans="1:12" ht="50.25" customHeight="1" outlineLevel="6" x14ac:dyDescent="0.25">
      <c r="A172" s="18" t="s">
        <v>652</v>
      </c>
      <c r="B172" s="30"/>
      <c r="C172" s="30"/>
      <c r="D172" s="30"/>
      <c r="E172" s="19" t="s">
        <v>655</v>
      </c>
      <c r="F172" s="19" t="s">
        <v>492</v>
      </c>
      <c r="G172" s="19" t="s">
        <v>500</v>
      </c>
      <c r="H172" s="19" t="s">
        <v>500</v>
      </c>
      <c r="I172" s="46">
        <f>I173</f>
        <v>595</v>
      </c>
      <c r="J172" s="46">
        <f t="shared" si="69"/>
        <v>0</v>
      </c>
      <c r="K172" s="46">
        <f t="shared" si="69"/>
        <v>0</v>
      </c>
      <c r="L172" s="1"/>
    </row>
    <row r="173" spans="1:12" ht="46.5" customHeight="1" outlineLevel="6" x14ac:dyDescent="0.25">
      <c r="A173" s="18" t="s">
        <v>30</v>
      </c>
      <c r="B173" s="30"/>
      <c r="C173" s="30"/>
      <c r="D173" s="30"/>
      <c r="E173" s="19" t="s">
        <v>655</v>
      </c>
      <c r="F173" s="19" t="s">
        <v>495</v>
      </c>
      <c r="G173" s="19" t="s">
        <v>510</v>
      </c>
      <c r="H173" s="19" t="s">
        <v>510</v>
      </c>
      <c r="I173" s="46">
        <f>175+420</f>
        <v>595</v>
      </c>
      <c r="J173" s="46">
        <v>0</v>
      </c>
      <c r="K173" s="46">
        <v>0</v>
      </c>
      <c r="L173" s="1"/>
    </row>
    <row r="174" spans="1:12" ht="21" customHeight="1" x14ac:dyDescent="0.25">
      <c r="A174" s="32" t="s">
        <v>24</v>
      </c>
      <c r="B174" s="8"/>
      <c r="C174" s="8"/>
      <c r="D174" s="8"/>
      <c r="E174" s="8" t="s">
        <v>288</v>
      </c>
      <c r="F174" s="8" t="s">
        <v>492</v>
      </c>
      <c r="G174" s="8" t="s">
        <v>500</v>
      </c>
      <c r="H174" s="8" t="s">
        <v>500</v>
      </c>
      <c r="I174" s="45">
        <f>I175+I182</f>
        <v>5669.5</v>
      </c>
      <c r="J174" s="45">
        <f t="shared" ref="J174:K174" si="70">J175+J182</f>
        <v>5100</v>
      </c>
      <c r="K174" s="45">
        <f t="shared" si="70"/>
        <v>5100</v>
      </c>
      <c r="L174" s="1"/>
    </row>
    <row r="175" spans="1:12" ht="63.75" customHeight="1" outlineLevel="1" x14ac:dyDescent="0.25">
      <c r="A175" s="18" t="s">
        <v>75</v>
      </c>
      <c r="B175" s="8"/>
      <c r="C175" s="8"/>
      <c r="D175" s="8"/>
      <c r="E175" s="19" t="s">
        <v>289</v>
      </c>
      <c r="F175" s="19" t="s">
        <v>492</v>
      </c>
      <c r="G175" s="19" t="s">
        <v>500</v>
      </c>
      <c r="H175" s="19" t="s">
        <v>500</v>
      </c>
      <c r="I175" s="46">
        <f>I176+I178+I180</f>
        <v>720</v>
      </c>
      <c r="J175" s="46">
        <f t="shared" ref="J175:K175" si="71">J176+J178+J180</f>
        <v>720</v>
      </c>
      <c r="K175" s="46">
        <f t="shared" si="71"/>
        <v>720</v>
      </c>
      <c r="L175" s="1"/>
    </row>
    <row r="176" spans="1:12" ht="47.25" outlineLevel="2" x14ac:dyDescent="0.25">
      <c r="A176" s="18" t="s">
        <v>69</v>
      </c>
      <c r="B176" s="8"/>
      <c r="C176" s="8"/>
      <c r="D176" s="8"/>
      <c r="E176" s="19" t="s">
        <v>290</v>
      </c>
      <c r="F176" s="19" t="s">
        <v>492</v>
      </c>
      <c r="G176" s="19" t="s">
        <v>500</v>
      </c>
      <c r="H176" s="19" t="s">
        <v>500</v>
      </c>
      <c r="I176" s="46">
        <f>I177</f>
        <v>3</v>
      </c>
      <c r="J176" s="46">
        <f t="shared" ref="J176:K176" si="72">J177</f>
        <v>3</v>
      </c>
      <c r="K176" s="46">
        <f t="shared" si="72"/>
        <v>3</v>
      </c>
      <c r="L176" s="1"/>
    </row>
    <row r="177" spans="1:12" ht="47.25" outlineLevel="3" x14ac:dyDescent="0.25">
      <c r="A177" s="18" t="s">
        <v>30</v>
      </c>
      <c r="B177" s="8"/>
      <c r="C177" s="8"/>
      <c r="D177" s="8"/>
      <c r="E177" s="19" t="s">
        <v>290</v>
      </c>
      <c r="F177" s="19" t="s">
        <v>495</v>
      </c>
      <c r="G177" s="19" t="s">
        <v>510</v>
      </c>
      <c r="H177" s="19" t="s">
        <v>510</v>
      </c>
      <c r="I177" s="46">
        <v>3</v>
      </c>
      <c r="J177" s="46">
        <v>3</v>
      </c>
      <c r="K177" s="46">
        <v>3</v>
      </c>
      <c r="L177" s="1"/>
    </row>
    <row r="178" spans="1:12" ht="47.25" outlineLevel="6" x14ac:dyDescent="0.25">
      <c r="A178" s="18" t="s">
        <v>76</v>
      </c>
      <c r="B178" s="8"/>
      <c r="C178" s="8"/>
      <c r="D178" s="8"/>
      <c r="E178" s="19" t="s">
        <v>291</v>
      </c>
      <c r="F178" s="19" t="s">
        <v>492</v>
      </c>
      <c r="G178" s="19" t="s">
        <v>500</v>
      </c>
      <c r="H178" s="19" t="s">
        <v>500</v>
      </c>
      <c r="I178" s="46">
        <f>I179</f>
        <v>618</v>
      </c>
      <c r="J178" s="46">
        <f t="shared" ref="J178:K178" si="73">J179</f>
        <v>618</v>
      </c>
      <c r="K178" s="46">
        <f t="shared" si="73"/>
        <v>618</v>
      </c>
      <c r="L178" s="1"/>
    </row>
    <row r="179" spans="1:12" ht="47.25" outlineLevel="3" x14ac:dyDescent="0.25">
      <c r="A179" s="18" t="s">
        <v>30</v>
      </c>
      <c r="B179" s="8"/>
      <c r="C179" s="8"/>
      <c r="D179" s="8"/>
      <c r="E179" s="19" t="s">
        <v>291</v>
      </c>
      <c r="F179" s="19" t="s">
        <v>495</v>
      </c>
      <c r="G179" s="19" t="s">
        <v>510</v>
      </c>
      <c r="H179" s="19" t="s">
        <v>510</v>
      </c>
      <c r="I179" s="46">
        <v>618</v>
      </c>
      <c r="J179" s="46">
        <v>618</v>
      </c>
      <c r="K179" s="46">
        <v>618</v>
      </c>
      <c r="L179" s="1"/>
    </row>
    <row r="180" spans="1:12" ht="111.75" customHeight="1" outlineLevel="6" x14ac:dyDescent="0.25">
      <c r="A180" s="18" t="s">
        <v>77</v>
      </c>
      <c r="B180" s="8"/>
      <c r="C180" s="8"/>
      <c r="D180" s="8"/>
      <c r="E180" s="19" t="s">
        <v>292</v>
      </c>
      <c r="F180" s="19" t="s">
        <v>492</v>
      </c>
      <c r="G180" s="19" t="s">
        <v>500</v>
      </c>
      <c r="H180" s="19" t="s">
        <v>500</v>
      </c>
      <c r="I180" s="46">
        <f>I181</f>
        <v>99</v>
      </c>
      <c r="J180" s="46">
        <f t="shared" ref="J180:K180" si="74">J181</f>
        <v>99</v>
      </c>
      <c r="K180" s="46">
        <f t="shared" si="74"/>
        <v>99</v>
      </c>
      <c r="L180" s="1"/>
    </row>
    <row r="181" spans="1:12" ht="31.5" customHeight="1" outlineLevel="3" x14ac:dyDescent="0.25">
      <c r="A181" s="18" t="s">
        <v>45</v>
      </c>
      <c r="B181" s="8"/>
      <c r="C181" s="8"/>
      <c r="D181" s="8"/>
      <c r="E181" s="19" t="s">
        <v>292</v>
      </c>
      <c r="F181" s="19" t="s">
        <v>498</v>
      </c>
      <c r="G181" s="19" t="s">
        <v>510</v>
      </c>
      <c r="H181" s="19" t="s">
        <v>510</v>
      </c>
      <c r="I181" s="46">
        <v>99</v>
      </c>
      <c r="J181" s="46">
        <v>99</v>
      </c>
      <c r="K181" s="46">
        <v>99</v>
      </c>
      <c r="L181" s="1"/>
    </row>
    <row r="182" spans="1:12" ht="50.25" customHeight="1" outlineLevel="6" x14ac:dyDescent="0.25">
      <c r="A182" s="18" t="s">
        <v>25</v>
      </c>
      <c r="B182" s="8"/>
      <c r="C182" s="8"/>
      <c r="D182" s="8"/>
      <c r="E182" s="19" t="s">
        <v>293</v>
      </c>
      <c r="F182" s="19" t="s">
        <v>492</v>
      </c>
      <c r="G182" s="19" t="s">
        <v>500</v>
      </c>
      <c r="H182" s="19" t="s">
        <v>500</v>
      </c>
      <c r="I182" s="46">
        <f>I183</f>
        <v>4949.5</v>
      </c>
      <c r="J182" s="46">
        <f t="shared" ref="J182:K182" si="75">J183</f>
        <v>4380</v>
      </c>
      <c r="K182" s="46">
        <f t="shared" si="75"/>
        <v>4380</v>
      </c>
      <c r="L182" s="1"/>
    </row>
    <row r="183" spans="1:12" ht="50.25" customHeight="1" outlineLevel="3" x14ac:dyDescent="0.25">
      <c r="A183" s="18" t="s">
        <v>26</v>
      </c>
      <c r="B183" s="8"/>
      <c r="C183" s="8"/>
      <c r="D183" s="8"/>
      <c r="E183" s="19" t="s">
        <v>294</v>
      </c>
      <c r="F183" s="19" t="s">
        <v>492</v>
      </c>
      <c r="G183" s="19" t="s">
        <v>500</v>
      </c>
      <c r="H183" s="19" t="s">
        <v>500</v>
      </c>
      <c r="I183" s="46">
        <f>I184+I185</f>
        <v>4949.5</v>
      </c>
      <c r="J183" s="46">
        <f t="shared" ref="J183:K183" si="76">J184+J185</f>
        <v>4380</v>
      </c>
      <c r="K183" s="46">
        <f t="shared" si="76"/>
        <v>4380</v>
      </c>
      <c r="L183" s="1"/>
    </row>
    <row r="184" spans="1:12" ht="113.25" customHeight="1" outlineLevel="4" x14ac:dyDescent="0.25">
      <c r="A184" s="18" t="s">
        <v>27</v>
      </c>
      <c r="B184" s="8"/>
      <c r="C184" s="8"/>
      <c r="D184" s="8"/>
      <c r="E184" s="19" t="s">
        <v>294</v>
      </c>
      <c r="F184" s="19" t="s">
        <v>494</v>
      </c>
      <c r="G184" s="19" t="s">
        <v>510</v>
      </c>
      <c r="H184" s="19" t="s">
        <v>509</v>
      </c>
      <c r="I184" s="46">
        <f>4337.2+569.5</f>
        <v>4906.7</v>
      </c>
      <c r="J184" s="46">
        <v>4337.2</v>
      </c>
      <c r="K184" s="46">
        <v>4337.2</v>
      </c>
      <c r="L184" s="1"/>
    </row>
    <row r="185" spans="1:12" ht="48" customHeight="1" outlineLevel="1" x14ac:dyDescent="0.25">
      <c r="A185" s="18" t="s">
        <v>30</v>
      </c>
      <c r="B185" s="8"/>
      <c r="C185" s="8"/>
      <c r="D185" s="8"/>
      <c r="E185" s="19" t="s">
        <v>294</v>
      </c>
      <c r="F185" s="19" t="s">
        <v>495</v>
      </c>
      <c r="G185" s="19" t="s">
        <v>510</v>
      </c>
      <c r="H185" s="19" t="s">
        <v>509</v>
      </c>
      <c r="I185" s="46">
        <v>42.8</v>
      </c>
      <c r="J185" s="46">
        <v>42.8</v>
      </c>
      <c r="K185" s="46">
        <v>42.8</v>
      </c>
      <c r="L185" s="1"/>
    </row>
    <row r="186" spans="1:12" ht="63.75" customHeight="1" outlineLevel="4" x14ac:dyDescent="0.25">
      <c r="A186" s="29" t="s">
        <v>78</v>
      </c>
      <c r="B186" s="30"/>
      <c r="C186" s="30"/>
      <c r="D186" s="30"/>
      <c r="E186" s="31" t="s">
        <v>295</v>
      </c>
      <c r="F186" s="31" t="s">
        <v>492</v>
      </c>
      <c r="G186" s="31" t="s">
        <v>500</v>
      </c>
      <c r="H186" s="31" t="s">
        <v>500</v>
      </c>
      <c r="I186" s="44">
        <f>I187</f>
        <v>21652.5</v>
      </c>
      <c r="J186" s="44">
        <f t="shared" ref="J186:K186" si="77">J187</f>
        <v>18602.5</v>
      </c>
      <c r="K186" s="44">
        <f t="shared" si="77"/>
        <v>18577.8</v>
      </c>
      <c r="L186" s="1"/>
    </row>
    <row r="187" spans="1:12" ht="15.75" customHeight="1" outlineLevel="5" x14ac:dyDescent="0.25">
      <c r="A187" s="32" t="s">
        <v>24</v>
      </c>
      <c r="B187" s="8"/>
      <c r="C187" s="8"/>
      <c r="D187" s="8"/>
      <c r="E187" s="8" t="s">
        <v>296</v>
      </c>
      <c r="F187" s="8" t="s">
        <v>492</v>
      </c>
      <c r="G187" s="8" t="s">
        <v>500</v>
      </c>
      <c r="H187" s="8" t="s">
        <v>500</v>
      </c>
      <c r="I187" s="45">
        <f>I188+I192+I195+I198</f>
        <v>21652.5</v>
      </c>
      <c r="J187" s="45">
        <f t="shared" ref="J187:K187" si="78">J188+J192+J195+J198</f>
        <v>18602.5</v>
      </c>
      <c r="K187" s="45">
        <f t="shared" si="78"/>
        <v>18577.8</v>
      </c>
      <c r="L187" s="1"/>
    </row>
    <row r="188" spans="1:12" ht="80.25" customHeight="1" outlineLevel="6" x14ac:dyDescent="0.25">
      <c r="A188" s="18" t="s">
        <v>79</v>
      </c>
      <c r="B188" s="8"/>
      <c r="C188" s="8"/>
      <c r="D188" s="8"/>
      <c r="E188" s="19" t="s">
        <v>297</v>
      </c>
      <c r="F188" s="19" t="s">
        <v>492</v>
      </c>
      <c r="G188" s="19" t="s">
        <v>500</v>
      </c>
      <c r="H188" s="19" t="s">
        <v>500</v>
      </c>
      <c r="I188" s="46">
        <f>I189</f>
        <v>19509.2</v>
      </c>
      <c r="J188" s="46">
        <f t="shared" ref="J188:K188" si="79">J189</f>
        <v>16654.599999999999</v>
      </c>
      <c r="K188" s="46">
        <f t="shared" si="79"/>
        <v>16654.599999999999</v>
      </c>
      <c r="L188" s="1"/>
    </row>
    <row r="189" spans="1:12" ht="48.75" customHeight="1" outlineLevel="6" x14ac:dyDescent="0.25">
      <c r="A189" s="18" t="s">
        <v>26</v>
      </c>
      <c r="B189" s="34"/>
      <c r="C189" s="8"/>
      <c r="D189" s="8"/>
      <c r="E189" s="19" t="s">
        <v>298</v>
      </c>
      <c r="F189" s="19" t="s">
        <v>492</v>
      </c>
      <c r="G189" s="19" t="s">
        <v>500</v>
      </c>
      <c r="H189" s="19" t="s">
        <v>500</v>
      </c>
      <c r="I189" s="46">
        <f>I190+I191</f>
        <v>19509.2</v>
      </c>
      <c r="J189" s="46">
        <f t="shared" ref="J189:K189" si="80">J190+J191</f>
        <v>16654.599999999999</v>
      </c>
      <c r="K189" s="46">
        <f t="shared" si="80"/>
        <v>16654.599999999999</v>
      </c>
      <c r="L189" s="1"/>
    </row>
    <row r="190" spans="1:12" ht="108.75" customHeight="1" outlineLevel="6" x14ac:dyDescent="0.25">
      <c r="A190" s="18" t="s">
        <v>27</v>
      </c>
      <c r="B190" s="8"/>
      <c r="C190" s="8"/>
      <c r="D190" s="8"/>
      <c r="E190" s="19" t="s">
        <v>298</v>
      </c>
      <c r="F190" s="19" t="s">
        <v>494</v>
      </c>
      <c r="G190" s="19" t="s">
        <v>503</v>
      </c>
      <c r="H190" s="19" t="s">
        <v>513</v>
      </c>
      <c r="I190" s="46">
        <f>16247.6+965.0244+1616.9756+272.6</f>
        <v>19102.2</v>
      </c>
      <c r="J190" s="46">
        <v>16247.6</v>
      </c>
      <c r="K190" s="46">
        <v>16247.6</v>
      </c>
      <c r="L190" s="20"/>
    </row>
    <row r="191" spans="1:12" ht="47.25" outlineLevel="5" x14ac:dyDescent="0.25">
      <c r="A191" s="18" t="s">
        <v>30</v>
      </c>
      <c r="B191" s="8"/>
      <c r="C191" s="8"/>
      <c r="D191" s="8"/>
      <c r="E191" s="19" t="s">
        <v>298</v>
      </c>
      <c r="F191" s="19" t="s">
        <v>495</v>
      </c>
      <c r="G191" s="19" t="s">
        <v>503</v>
      </c>
      <c r="H191" s="19" t="s">
        <v>513</v>
      </c>
      <c r="I191" s="46">
        <v>407</v>
      </c>
      <c r="J191" s="46">
        <v>407</v>
      </c>
      <c r="K191" s="46">
        <v>407</v>
      </c>
      <c r="L191" s="1"/>
    </row>
    <row r="192" spans="1:12" ht="80.25" customHeight="1" outlineLevel="6" x14ac:dyDescent="0.25">
      <c r="A192" s="18" t="s">
        <v>80</v>
      </c>
      <c r="B192" s="8"/>
      <c r="C192" s="8"/>
      <c r="D192" s="8"/>
      <c r="E192" s="19" t="s">
        <v>299</v>
      </c>
      <c r="F192" s="19" t="s">
        <v>492</v>
      </c>
      <c r="G192" s="19" t="s">
        <v>500</v>
      </c>
      <c r="H192" s="19" t="s">
        <v>500</v>
      </c>
      <c r="I192" s="46">
        <f>I193</f>
        <v>879.59999999999991</v>
      </c>
      <c r="J192" s="46">
        <f t="shared" ref="J192:K193" si="81">J193</f>
        <v>792.69999999999993</v>
      </c>
      <c r="K192" s="46">
        <f t="shared" si="81"/>
        <v>813.19999999999993</v>
      </c>
      <c r="L192" s="1"/>
    </row>
    <row r="193" spans="1:12" ht="55.5" customHeight="1" outlineLevel="3" x14ac:dyDescent="0.25">
      <c r="A193" s="18" t="s">
        <v>81</v>
      </c>
      <c r="B193" s="8"/>
      <c r="C193" s="8"/>
      <c r="D193" s="8"/>
      <c r="E193" s="19" t="s">
        <v>300</v>
      </c>
      <c r="F193" s="19" t="s">
        <v>492</v>
      </c>
      <c r="G193" s="19" t="s">
        <v>500</v>
      </c>
      <c r="H193" s="19" t="s">
        <v>500</v>
      </c>
      <c r="I193" s="46">
        <f>I194</f>
        <v>879.59999999999991</v>
      </c>
      <c r="J193" s="46">
        <f t="shared" si="81"/>
        <v>792.69999999999993</v>
      </c>
      <c r="K193" s="46">
        <f t="shared" si="81"/>
        <v>813.19999999999993</v>
      </c>
      <c r="L193" s="1"/>
    </row>
    <row r="194" spans="1:12" ht="23.25" customHeight="1" outlineLevel="4" x14ac:dyDescent="0.25">
      <c r="A194" s="18" t="s">
        <v>33</v>
      </c>
      <c r="B194" s="8"/>
      <c r="C194" s="8"/>
      <c r="D194" s="8"/>
      <c r="E194" s="19" t="s">
        <v>300</v>
      </c>
      <c r="F194" s="19" t="s">
        <v>496</v>
      </c>
      <c r="G194" s="19" t="s">
        <v>503</v>
      </c>
      <c r="H194" s="19" t="s">
        <v>512</v>
      </c>
      <c r="I194" s="46">
        <f>891.3-11.7</f>
        <v>879.59999999999991</v>
      </c>
      <c r="J194" s="46">
        <f>891.3-98.6</f>
        <v>792.69999999999993</v>
      </c>
      <c r="K194" s="46">
        <f>891.3-78.1</f>
        <v>813.19999999999993</v>
      </c>
      <c r="L194" s="1"/>
    </row>
    <row r="195" spans="1:12" ht="63.75" customHeight="1" outlineLevel="6" x14ac:dyDescent="0.25">
      <c r="A195" s="18" t="s">
        <v>82</v>
      </c>
      <c r="B195" s="34"/>
      <c r="C195" s="8"/>
      <c r="D195" s="8"/>
      <c r="E195" s="19" t="s">
        <v>301</v>
      </c>
      <c r="F195" s="19" t="s">
        <v>492</v>
      </c>
      <c r="G195" s="19" t="s">
        <v>500</v>
      </c>
      <c r="H195" s="19" t="s">
        <v>500</v>
      </c>
      <c r="I195" s="46">
        <f>I196</f>
        <v>263.7</v>
      </c>
      <c r="J195" s="46">
        <f t="shared" ref="J195:K196" si="82">J196</f>
        <v>155.19999999999999</v>
      </c>
      <c r="K195" s="46">
        <f t="shared" si="82"/>
        <v>110</v>
      </c>
      <c r="L195" s="1"/>
    </row>
    <row r="196" spans="1:12" ht="33" customHeight="1" outlineLevel="6" x14ac:dyDescent="0.25">
      <c r="A196" s="18" t="s">
        <v>83</v>
      </c>
      <c r="B196" s="8"/>
      <c r="C196" s="8"/>
      <c r="D196" s="8"/>
      <c r="E196" s="19" t="s">
        <v>302</v>
      </c>
      <c r="F196" s="19" t="s">
        <v>492</v>
      </c>
      <c r="G196" s="19" t="s">
        <v>500</v>
      </c>
      <c r="H196" s="19" t="s">
        <v>500</v>
      </c>
      <c r="I196" s="46">
        <f>I197</f>
        <v>263.7</v>
      </c>
      <c r="J196" s="46">
        <f t="shared" si="82"/>
        <v>155.19999999999999</v>
      </c>
      <c r="K196" s="46">
        <f t="shared" si="82"/>
        <v>110</v>
      </c>
      <c r="L196" s="1"/>
    </row>
    <row r="197" spans="1:12" ht="35.25" customHeight="1" outlineLevel="3" x14ac:dyDescent="0.25">
      <c r="A197" s="18" t="s">
        <v>84</v>
      </c>
      <c r="B197" s="8"/>
      <c r="C197" s="8"/>
      <c r="D197" s="8"/>
      <c r="E197" s="19" t="s">
        <v>302</v>
      </c>
      <c r="F197" s="19" t="s">
        <v>499</v>
      </c>
      <c r="G197" s="19" t="s">
        <v>504</v>
      </c>
      <c r="H197" s="19" t="s">
        <v>503</v>
      </c>
      <c r="I197" s="46">
        <f>152+100+11.7</f>
        <v>263.7</v>
      </c>
      <c r="J197" s="46">
        <f>56.6+98.6</f>
        <v>155.19999999999999</v>
      </c>
      <c r="K197" s="46">
        <f>31.9+78.1</f>
        <v>110</v>
      </c>
      <c r="L197" s="1"/>
    </row>
    <row r="198" spans="1:12" ht="67.5" customHeight="1" outlineLevel="6" x14ac:dyDescent="0.25">
      <c r="A198" s="18" t="s">
        <v>85</v>
      </c>
      <c r="B198" s="8"/>
      <c r="C198" s="8"/>
      <c r="D198" s="8"/>
      <c r="E198" s="19" t="s">
        <v>303</v>
      </c>
      <c r="F198" s="19" t="s">
        <v>492</v>
      </c>
      <c r="G198" s="19" t="s">
        <v>500</v>
      </c>
      <c r="H198" s="19" t="s">
        <v>500</v>
      </c>
      <c r="I198" s="46">
        <f>I199</f>
        <v>1000</v>
      </c>
      <c r="J198" s="46">
        <f t="shared" ref="J198:K198" si="83">J199</f>
        <v>1000</v>
      </c>
      <c r="K198" s="46">
        <f t="shared" si="83"/>
        <v>1000</v>
      </c>
      <c r="L198" s="1"/>
    </row>
    <row r="199" spans="1:12" ht="67.5" customHeight="1" outlineLevel="1" x14ac:dyDescent="0.25">
      <c r="A199" s="18" t="s">
        <v>86</v>
      </c>
      <c r="B199" s="8"/>
      <c r="C199" s="8"/>
      <c r="D199" s="8"/>
      <c r="E199" s="19" t="s">
        <v>304</v>
      </c>
      <c r="F199" s="19" t="s">
        <v>492</v>
      </c>
      <c r="G199" s="19" t="s">
        <v>500</v>
      </c>
      <c r="H199" s="19" t="s">
        <v>500</v>
      </c>
      <c r="I199" s="46">
        <f>I200+I201+I202+I203</f>
        <v>1000</v>
      </c>
      <c r="J199" s="46">
        <f t="shared" ref="J199:K199" si="84">J200+J201+J202+J203</f>
        <v>1000</v>
      </c>
      <c r="K199" s="46">
        <f t="shared" si="84"/>
        <v>1000</v>
      </c>
      <c r="L199" s="1"/>
    </row>
    <row r="200" spans="1:12" ht="51.75" customHeight="1" outlineLevel="2" x14ac:dyDescent="0.25">
      <c r="A200" s="18" t="s">
        <v>30</v>
      </c>
      <c r="B200" s="8"/>
      <c r="C200" s="8"/>
      <c r="D200" s="8"/>
      <c r="E200" s="19" t="s">
        <v>304</v>
      </c>
      <c r="F200" s="19" t="s">
        <v>495</v>
      </c>
      <c r="G200" s="19" t="s">
        <v>510</v>
      </c>
      <c r="H200" s="19" t="s">
        <v>509</v>
      </c>
      <c r="I200" s="46">
        <v>300</v>
      </c>
      <c r="J200" s="46">
        <v>0</v>
      </c>
      <c r="K200" s="46">
        <v>0</v>
      </c>
      <c r="L200" s="20"/>
    </row>
    <row r="201" spans="1:12" ht="53.25" customHeight="1" outlineLevel="4" x14ac:dyDescent="0.25">
      <c r="A201" s="18" t="s">
        <v>36</v>
      </c>
      <c r="B201" s="8"/>
      <c r="C201" s="8"/>
      <c r="D201" s="8"/>
      <c r="E201" s="19" t="s">
        <v>304</v>
      </c>
      <c r="F201" s="19" t="s">
        <v>497</v>
      </c>
      <c r="G201" s="19" t="s">
        <v>510</v>
      </c>
      <c r="H201" s="19" t="s">
        <v>502</v>
      </c>
      <c r="I201" s="46">
        <v>466</v>
      </c>
      <c r="J201" s="46">
        <v>0</v>
      </c>
      <c r="K201" s="46">
        <v>0</v>
      </c>
      <c r="L201" s="1"/>
    </row>
    <row r="202" spans="1:12" ht="52.5" customHeight="1" outlineLevel="6" x14ac:dyDescent="0.25">
      <c r="A202" s="18" t="s">
        <v>36</v>
      </c>
      <c r="B202" s="8"/>
      <c r="C202" s="8"/>
      <c r="D202" s="8"/>
      <c r="E202" s="19" t="s">
        <v>304</v>
      </c>
      <c r="F202" s="19" t="s">
        <v>497</v>
      </c>
      <c r="G202" s="19" t="s">
        <v>512</v>
      </c>
      <c r="H202" s="19" t="s">
        <v>503</v>
      </c>
      <c r="I202" s="46">
        <v>234</v>
      </c>
      <c r="J202" s="46">
        <v>0</v>
      </c>
      <c r="K202" s="46">
        <v>0</v>
      </c>
      <c r="L202" s="1"/>
    </row>
    <row r="203" spans="1:12" ht="23.25" customHeight="1" outlineLevel="3" x14ac:dyDescent="0.25">
      <c r="A203" s="18" t="s">
        <v>33</v>
      </c>
      <c r="B203" s="8"/>
      <c r="C203" s="8"/>
      <c r="D203" s="8"/>
      <c r="E203" s="19" t="s">
        <v>304</v>
      </c>
      <c r="F203" s="19" t="s">
        <v>496</v>
      </c>
      <c r="G203" s="19" t="s">
        <v>503</v>
      </c>
      <c r="H203" s="19" t="s">
        <v>504</v>
      </c>
      <c r="I203" s="46">
        <v>0</v>
      </c>
      <c r="J203" s="46">
        <v>1000</v>
      </c>
      <c r="K203" s="46">
        <v>1000</v>
      </c>
      <c r="L203" s="1"/>
    </row>
    <row r="204" spans="1:12" ht="47.25" outlineLevel="6" x14ac:dyDescent="0.25">
      <c r="A204" s="29" t="s">
        <v>87</v>
      </c>
      <c r="B204" s="30"/>
      <c r="C204" s="30"/>
      <c r="D204" s="30"/>
      <c r="E204" s="31" t="s">
        <v>305</v>
      </c>
      <c r="F204" s="31" t="s">
        <v>492</v>
      </c>
      <c r="G204" s="31" t="s">
        <v>500</v>
      </c>
      <c r="H204" s="31" t="s">
        <v>500</v>
      </c>
      <c r="I204" s="44">
        <f>I212+I259+I205</f>
        <v>1638388.2933999998</v>
      </c>
      <c r="J204" s="44">
        <f>J212+J259+J205</f>
        <v>1580827.1</v>
      </c>
      <c r="K204" s="44">
        <f>K212+K259+K205</f>
        <v>1576215.5000000005</v>
      </c>
      <c r="L204" s="1"/>
    </row>
    <row r="205" spans="1:12" ht="78.75" outlineLevel="6" x14ac:dyDescent="0.25">
      <c r="A205" s="18" t="s">
        <v>577</v>
      </c>
      <c r="B205" s="8"/>
      <c r="C205" s="8"/>
      <c r="D205" s="8"/>
      <c r="E205" s="19" t="s">
        <v>581</v>
      </c>
      <c r="F205" s="19" t="s">
        <v>492</v>
      </c>
      <c r="G205" s="19" t="s">
        <v>510</v>
      </c>
      <c r="H205" s="19" t="s">
        <v>502</v>
      </c>
      <c r="I205" s="46">
        <f>I209+I206</f>
        <v>1422.8</v>
      </c>
      <c r="J205" s="46">
        <f>J209+J206</f>
        <v>4207.6000000000004</v>
      </c>
      <c r="K205" s="46">
        <f>K209+K206</f>
        <v>4372</v>
      </c>
      <c r="L205" s="1"/>
    </row>
    <row r="206" spans="1:12" ht="47.25" outlineLevel="6" x14ac:dyDescent="0.25">
      <c r="A206" s="18" t="s">
        <v>630</v>
      </c>
      <c r="B206" s="8"/>
      <c r="C206" s="8"/>
      <c r="D206" s="8"/>
      <c r="E206" s="19" t="s">
        <v>632</v>
      </c>
      <c r="F206" s="19" t="s">
        <v>492</v>
      </c>
      <c r="G206" s="19" t="s">
        <v>510</v>
      </c>
      <c r="H206" s="19" t="s">
        <v>502</v>
      </c>
      <c r="I206" s="46">
        <f>I207</f>
        <v>1422.8</v>
      </c>
      <c r="J206" s="46">
        <f t="shared" ref="J206:K207" si="85">J207</f>
        <v>4207.6000000000004</v>
      </c>
      <c r="K206" s="46">
        <f t="shared" si="85"/>
        <v>4207.6000000000004</v>
      </c>
      <c r="L206" s="1"/>
    </row>
    <row r="207" spans="1:12" ht="94.5" outlineLevel="6" x14ac:dyDescent="0.25">
      <c r="A207" s="18" t="s">
        <v>631</v>
      </c>
      <c r="B207" s="8"/>
      <c r="C207" s="8"/>
      <c r="D207" s="8"/>
      <c r="E207" s="19" t="s">
        <v>633</v>
      </c>
      <c r="F207" s="19" t="s">
        <v>492</v>
      </c>
      <c r="G207" s="19" t="s">
        <v>510</v>
      </c>
      <c r="H207" s="19" t="s">
        <v>502</v>
      </c>
      <c r="I207" s="46">
        <f>I208</f>
        <v>1422.8</v>
      </c>
      <c r="J207" s="46">
        <f t="shared" si="85"/>
        <v>4207.6000000000004</v>
      </c>
      <c r="K207" s="46">
        <f t="shared" si="85"/>
        <v>4207.6000000000004</v>
      </c>
      <c r="L207" s="1"/>
    </row>
    <row r="208" spans="1:12" ht="48" customHeight="1" outlineLevel="6" x14ac:dyDescent="0.25">
      <c r="A208" s="18" t="s">
        <v>580</v>
      </c>
      <c r="B208" s="8"/>
      <c r="C208" s="8"/>
      <c r="D208" s="8"/>
      <c r="E208" s="19" t="s">
        <v>633</v>
      </c>
      <c r="F208" s="19" t="s">
        <v>497</v>
      </c>
      <c r="G208" s="19" t="s">
        <v>510</v>
      </c>
      <c r="H208" s="19" t="s">
        <v>502</v>
      </c>
      <c r="I208" s="46">
        <v>1422.8</v>
      </c>
      <c r="J208" s="46">
        <v>4207.6000000000004</v>
      </c>
      <c r="K208" s="46">
        <v>4207.6000000000004</v>
      </c>
      <c r="L208" s="1"/>
    </row>
    <row r="209" spans="1:12" ht="47.25" outlineLevel="6" x14ac:dyDescent="0.25">
      <c r="A209" s="18" t="s">
        <v>578</v>
      </c>
      <c r="B209" s="8"/>
      <c r="C209" s="8"/>
      <c r="D209" s="8"/>
      <c r="E209" s="19" t="s">
        <v>582</v>
      </c>
      <c r="F209" s="19" t="s">
        <v>492</v>
      </c>
      <c r="G209" s="19" t="s">
        <v>510</v>
      </c>
      <c r="H209" s="19" t="s">
        <v>502</v>
      </c>
      <c r="I209" s="46">
        <f>I210</f>
        <v>0</v>
      </c>
      <c r="J209" s="46">
        <f t="shared" ref="J209:K210" si="86">J210</f>
        <v>0</v>
      </c>
      <c r="K209" s="46">
        <f t="shared" si="86"/>
        <v>164.4</v>
      </c>
      <c r="L209" s="1"/>
    </row>
    <row r="210" spans="1:12" ht="94.5" outlineLevel="6" x14ac:dyDescent="0.25">
      <c r="A210" s="18" t="s">
        <v>579</v>
      </c>
      <c r="B210" s="8"/>
      <c r="C210" s="8"/>
      <c r="D210" s="8"/>
      <c r="E210" s="19" t="s">
        <v>583</v>
      </c>
      <c r="F210" s="19" t="s">
        <v>492</v>
      </c>
      <c r="G210" s="19" t="s">
        <v>510</v>
      </c>
      <c r="H210" s="19" t="s">
        <v>502</v>
      </c>
      <c r="I210" s="46">
        <f>I211</f>
        <v>0</v>
      </c>
      <c r="J210" s="46">
        <f t="shared" si="86"/>
        <v>0</v>
      </c>
      <c r="K210" s="46">
        <f t="shared" si="86"/>
        <v>164.4</v>
      </c>
      <c r="L210" s="1"/>
    </row>
    <row r="211" spans="1:12" ht="49.5" customHeight="1" outlineLevel="6" x14ac:dyDescent="0.25">
      <c r="A211" s="18" t="s">
        <v>580</v>
      </c>
      <c r="B211" s="8"/>
      <c r="C211" s="8"/>
      <c r="D211" s="8"/>
      <c r="E211" s="19" t="s">
        <v>583</v>
      </c>
      <c r="F211" s="19" t="s">
        <v>497</v>
      </c>
      <c r="G211" s="19" t="s">
        <v>510</v>
      </c>
      <c r="H211" s="19" t="s">
        <v>502</v>
      </c>
      <c r="I211" s="46">
        <v>0</v>
      </c>
      <c r="J211" s="46">
        <v>0</v>
      </c>
      <c r="K211" s="46">
        <f>143+21.4</f>
        <v>164.4</v>
      </c>
      <c r="L211" s="1"/>
    </row>
    <row r="212" spans="1:12" ht="36.6" customHeight="1" outlineLevel="3" x14ac:dyDescent="0.25">
      <c r="A212" s="18" t="s">
        <v>21</v>
      </c>
      <c r="B212" s="8"/>
      <c r="C212" s="8"/>
      <c r="D212" s="8"/>
      <c r="E212" s="19" t="s">
        <v>306</v>
      </c>
      <c r="F212" s="19" t="s">
        <v>492</v>
      </c>
      <c r="G212" s="19" t="s">
        <v>500</v>
      </c>
      <c r="H212" s="19" t="s">
        <v>500</v>
      </c>
      <c r="I212" s="46">
        <f>I213</f>
        <v>162955.52100000004</v>
      </c>
      <c r="J212" s="46">
        <f t="shared" ref="J212:K212" si="87">J213</f>
        <v>148693.5</v>
      </c>
      <c r="K212" s="46">
        <f t="shared" si="87"/>
        <v>146370.40000000002</v>
      </c>
      <c r="L212" s="1"/>
    </row>
    <row r="213" spans="1:12" ht="48" customHeight="1" outlineLevel="4" x14ac:dyDescent="0.25">
      <c r="A213" s="18" t="s">
        <v>88</v>
      </c>
      <c r="B213" s="8"/>
      <c r="C213" s="8"/>
      <c r="D213" s="8"/>
      <c r="E213" s="19" t="s">
        <v>307</v>
      </c>
      <c r="F213" s="19" t="s">
        <v>492</v>
      </c>
      <c r="G213" s="19" t="s">
        <v>500</v>
      </c>
      <c r="H213" s="19" t="s">
        <v>500</v>
      </c>
      <c r="I213" s="46">
        <f>I214+I216+I218+I221+I223+I227+I243+I245+I247+I249+I251+I235+I255+I237+I241+I257+I229+I231+I233</f>
        <v>162955.52100000004</v>
      </c>
      <c r="J213" s="46">
        <f t="shared" ref="J213:K213" si="88">J214+J216+J218+J221+J223+J227+J243+J245+J247+J249+J251</f>
        <v>148693.5</v>
      </c>
      <c r="K213" s="46">
        <f t="shared" si="88"/>
        <v>146370.40000000002</v>
      </c>
      <c r="L213" s="1"/>
    </row>
    <row r="214" spans="1:12" ht="78.75" outlineLevel="5" x14ac:dyDescent="0.25">
      <c r="A214" s="18" t="s">
        <v>517</v>
      </c>
      <c r="B214" s="8"/>
      <c r="C214" s="8"/>
      <c r="D214" s="8"/>
      <c r="E214" s="19" t="s">
        <v>308</v>
      </c>
      <c r="F214" s="19" t="s">
        <v>492</v>
      </c>
      <c r="G214" s="19" t="s">
        <v>500</v>
      </c>
      <c r="H214" s="19" t="s">
        <v>500</v>
      </c>
      <c r="I214" s="46">
        <f>I215</f>
        <v>34566.700000000004</v>
      </c>
      <c r="J214" s="46">
        <f t="shared" ref="J214:K214" si="89">J215</f>
        <v>35075.9</v>
      </c>
      <c r="K214" s="46">
        <f t="shared" si="89"/>
        <v>35075.9</v>
      </c>
      <c r="L214" s="1"/>
    </row>
    <row r="215" spans="1:12" ht="50.25" customHeight="1" outlineLevel="6" x14ac:dyDescent="0.25">
      <c r="A215" s="18" t="s">
        <v>36</v>
      </c>
      <c r="B215" s="8"/>
      <c r="C215" s="8"/>
      <c r="D215" s="8"/>
      <c r="E215" s="19" t="s">
        <v>308</v>
      </c>
      <c r="F215" s="19" t="s">
        <v>497</v>
      </c>
      <c r="G215" s="19" t="s">
        <v>510</v>
      </c>
      <c r="H215" s="19" t="s">
        <v>502</v>
      </c>
      <c r="I215" s="46">
        <f>35075.9-509.2</f>
        <v>34566.700000000004</v>
      </c>
      <c r="J215" s="46">
        <v>35075.9</v>
      </c>
      <c r="K215" s="46">
        <v>35075.9</v>
      </c>
      <c r="L215" s="1"/>
    </row>
    <row r="216" spans="1:12" ht="94.5" customHeight="1" outlineLevel="6" x14ac:dyDescent="0.25">
      <c r="A216" s="18" t="s">
        <v>89</v>
      </c>
      <c r="B216" s="8"/>
      <c r="C216" s="8"/>
      <c r="D216" s="8"/>
      <c r="E216" s="19" t="s">
        <v>309</v>
      </c>
      <c r="F216" s="19" t="s">
        <v>492</v>
      </c>
      <c r="G216" s="19" t="s">
        <v>500</v>
      </c>
      <c r="H216" s="19" t="s">
        <v>500</v>
      </c>
      <c r="I216" s="46">
        <f>I217</f>
        <v>5437.4</v>
      </c>
      <c r="J216" s="46">
        <f t="shared" ref="J216:K216" si="90">J217</f>
        <v>5437.4</v>
      </c>
      <c r="K216" s="46">
        <f t="shared" si="90"/>
        <v>5437.4</v>
      </c>
      <c r="L216" s="1"/>
    </row>
    <row r="217" spans="1:12" ht="48" customHeight="1" outlineLevel="2" x14ac:dyDescent="0.25">
      <c r="A217" s="18" t="s">
        <v>36</v>
      </c>
      <c r="B217" s="8"/>
      <c r="C217" s="8"/>
      <c r="D217" s="8"/>
      <c r="E217" s="19" t="s">
        <v>309</v>
      </c>
      <c r="F217" s="19" t="s">
        <v>497</v>
      </c>
      <c r="G217" s="19" t="s">
        <v>510</v>
      </c>
      <c r="H217" s="33" t="s">
        <v>509</v>
      </c>
      <c r="I217" s="46">
        <f>5437.4</f>
        <v>5437.4</v>
      </c>
      <c r="J217" s="46">
        <f>5437.4</f>
        <v>5437.4</v>
      </c>
      <c r="K217" s="46">
        <f>5437.4</f>
        <v>5437.4</v>
      </c>
      <c r="L217" s="1"/>
    </row>
    <row r="218" spans="1:12" ht="78.75" outlineLevel="5" x14ac:dyDescent="0.25">
      <c r="A218" s="18" t="s">
        <v>90</v>
      </c>
      <c r="B218" s="8"/>
      <c r="C218" s="8"/>
      <c r="D218" s="8"/>
      <c r="E218" s="19" t="s">
        <v>310</v>
      </c>
      <c r="F218" s="19" t="s">
        <v>492</v>
      </c>
      <c r="G218" s="19" t="s">
        <v>500</v>
      </c>
      <c r="H218" s="19" t="s">
        <v>500</v>
      </c>
      <c r="I218" s="46">
        <f>I219+I220</f>
        <v>7942.6</v>
      </c>
      <c r="J218" s="46">
        <f t="shared" ref="J218:K218" si="91">J219+J220</f>
        <v>7942.6</v>
      </c>
      <c r="K218" s="46">
        <f t="shared" si="91"/>
        <v>7942.6</v>
      </c>
      <c r="L218" s="1"/>
    </row>
    <row r="219" spans="1:12" ht="31.5" outlineLevel="6" x14ac:dyDescent="0.25">
      <c r="A219" s="18" t="s">
        <v>45</v>
      </c>
      <c r="B219" s="8"/>
      <c r="C219" s="8"/>
      <c r="D219" s="8"/>
      <c r="E219" s="19" t="s">
        <v>310</v>
      </c>
      <c r="F219" s="19" t="s">
        <v>498</v>
      </c>
      <c r="G219" s="19" t="s">
        <v>510</v>
      </c>
      <c r="H219" s="33" t="s">
        <v>509</v>
      </c>
      <c r="I219" s="46">
        <f>382-214.8</f>
        <v>167.2</v>
      </c>
      <c r="J219" s="46">
        <f>382</f>
        <v>382</v>
      </c>
      <c r="K219" s="46">
        <f>382</f>
        <v>382</v>
      </c>
      <c r="L219" s="1"/>
    </row>
    <row r="220" spans="1:12" ht="52.5" customHeight="1" outlineLevel="4" x14ac:dyDescent="0.25">
      <c r="A220" s="18" t="s">
        <v>36</v>
      </c>
      <c r="B220" s="8"/>
      <c r="C220" s="8"/>
      <c r="D220" s="8"/>
      <c r="E220" s="19" t="s">
        <v>310</v>
      </c>
      <c r="F220" s="19" t="s">
        <v>497</v>
      </c>
      <c r="G220" s="19" t="s">
        <v>510</v>
      </c>
      <c r="H220" s="33" t="s">
        <v>509</v>
      </c>
      <c r="I220" s="46">
        <f>7560.6+214.8</f>
        <v>7775.4000000000005</v>
      </c>
      <c r="J220" s="46">
        <f>7560.6</f>
        <v>7560.6</v>
      </c>
      <c r="K220" s="46">
        <f>7560.6</f>
        <v>7560.6</v>
      </c>
      <c r="L220" s="1"/>
    </row>
    <row r="221" spans="1:12" ht="132.75" customHeight="1" outlineLevel="3" x14ac:dyDescent="0.25">
      <c r="A221" s="18" t="s">
        <v>91</v>
      </c>
      <c r="B221" s="8"/>
      <c r="C221" s="8"/>
      <c r="D221" s="8"/>
      <c r="E221" s="19" t="s">
        <v>311</v>
      </c>
      <c r="F221" s="19" t="s">
        <v>492</v>
      </c>
      <c r="G221" s="19" t="s">
        <v>500</v>
      </c>
      <c r="H221" s="19" t="s">
        <v>500</v>
      </c>
      <c r="I221" s="46">
        <f>I222</f>
        <v>666</v>
      </c>
      <c r="J221" s="46">
        <f t="shared" ref="J221:K221" si="92">J222</f>
        <v>820</v>
      </c>
      <c r="K221" s="46">
        <f t="shared" si="92"/>
        <v>677</v>
      </c>
      <c r="L221" s="1"/>
    </row>
    <row r="222" spans="1:12" ht="49.15" customHeight="1" outlineLevel="4" x14ac:dyDescent="0.25">
      <c r="A222" s="18" t="s">
        <v>36</v>
      </c>
      <c r="B222" s="8"/>
      <c r="C222" s="8"/>
      <c r="D222" s="8"/>
      <c r="E222" s="19" t="s">
        <v>311</v>
      </c>
      <c r="F222" s="19" t="s">
        <v>497</v>
      </c>
      <c r="G222" s="19" t="s">
        <v>510</v>
      </c>
      <c r="H222" s="19" t="s">
        <v>502</v>
      </c>
      <c r="I222" s="46">
        <v>666</v>
      </c>
      <c r="J222" s="46">
        <v>820</v>
      </c>
      <c r="K222" s="46">
        <v>677</v>
      </c>
      <c r="L222" s="1"/>
    </row>
    <row r="223" spans="1:12" ht="112.5" customHeight="1" outlineLevel="3" x14ac:dyDescent="0.25">
      <c r="A223" s="18" t="s">
        <v>92</v>
      </c>
      <c r="B223" s="8"/>
      <c r="C223" s="8"/>
      <c r="D223" s="8"/>
      <c r="E223" s="19" t="s">
        <v>312</v>
      </c>
      <c r="F223" s="19" t="s">
        <v>492</v>
      </c>
      <c r="G223" s="19" t="s">
        <v>500</v>
      </c>
      <c r="H223" s="19" t="s">
        <v>500</v>
      </c>
      <c r="I223" s="46">
        <f>I224+I225+I226</f>
        <v>23722</v>
      </c>
      <c r="J223" s="46">
        <f t="shared" ref="J223:K223" si="93">J224+J225+J226</f>
        <v>23722</v>
      </c>
      <c r="K223" s="46">
        <f t="shared" si="93"/>
        <v>23722</v>
      </c>
      <c r="L223" s="20"/>
    </row>
    <row r="224" spans="1:12" ht="51.75" customHeight="1" outlineLevel="6" x14ac:dyDescent="0.25">
      <c r="A224" s="18" t="s">
        <v>36</v>
      </c>
      <c r="B224" s="8"/>
      <c r="C224" s="8"/>
      <c r="D224" s="8"/>
      <c r="E224" s="19" t="s">
        <v>312</v>
      </c>
      <c r="F224" s="19" t="s">
        <v>497</v>
      </c>
      <c r="G224" s="19" t="s">
        <v>510</v>
      </c>
      <c r="H224" s="19" t="s">
        <v>503</v>
      </c>
      <c r="I224" s="46">
        <v>10050</v>
      </c>
      <c r="J224" s="46">
        <v>15000</v>
      </c>
      <c r="K224" s="46">
        <v>15000</v>
      </c>
      <c r="L224" s="20"/>
    </row>
    <row r="225" spans="1:12" ht="51.75" customHeight="1" outlineLevel="6" x14ac:dyDescent="0.25">
      <c r="A225" s="18" t="s">
        <v>36</v>
      </c>
      <c r="B225" s="8"/>
      <c r="C225" s="8"/>
      <c r="D225" s="8"/>
      <c r="E225" s="19" t="s">
        <v>312</v>
      </c>
      <c r="F225" s="19" t="s">
        <v>497</v>
      </c>
      <c r="G225" s="19" t="s">
        <v>510</v>
      </c>
      <c r="H225" s="19" t="s">
        <v>502</v>
      </c>
      <c r="I225" s="46">
        <v>9672</v>
      </c>
      <c r="J225" s="46">
        <v>4722</v>
      </c>
      <c r="K225" s="46">
        <v>4722</v>
      </c>
      <c r="L225" s="1"/>
    </row>
    <row r="226" spans="1:12" ht="48.75" customHeight="1" outlineLevel="2" x14ac:dyDescent="0.25">
      <c r="A226" s="18" t="s">
        <v>36</v>
      </c>
      <c r="B226" s="8"/>
      <c r="C226" s="8"/>
      <c r="D226" s="8"/>
      <c r="E226" s="19" t="s">
        <v>312</v>
      </c>
      <c r="F226" s="19" t="s">
        <v>497</v>
      </c>
      <c r="G226" s="19" t="s">
        <v>510</v>
      </c>
      <c r="H226" s="33" t="s">
        <v>509</v>
      </c>
      <c r="I226" s="46">
        <f>4000</f>
        <v>4000</v>
      </c>
      <c r="J226" s="46">
        <f>4000</f>
        <v>4000</v>
      </c>
      <c r="K226" s="46">
        <f>4000</f>
        <v>4000</v>
      </c>
      <c r="L226" s="1"/>
    </row>
    <row r="227" spans="1:12" ht="173.25" outlineLevel="3" x14ac:dyDescent="0.25">
      <c r="A227" s="18" t="s">
        <v>93</v>
      </c>
      <c r="B227" s="8"/>
      <c r="C227" s="8"/>
      <c r="D227" s="8"/>
      <c r="E227" s="19" t="s">
        <v>313</v>
      </c>
      <c r="F227" s="19" t="s">
        <v>492</v>
      </c>
      <c r="G227" s="19" t="s">
        <v>500</v>
      </c>
      <c r="H227" s="19" t="s">
        <v>500</v>
      </c>
      <c r="I227" s="46">
        <f>I228</f>
        <v>3286</v>
      </c>
      <c r="J227" s="46">
        <f t="shared" ref="J227:K227" si="94">J228</f>
        <v>3109</v>
      </c>
      <c r="K227" s="46">
        <f t="shared" si="94"/>
        <v>3109</v>
      </c>
      <c r="L227" s="1"/>
    </row>
    <row r="228" spans="1:12" ht="50.25" customHeight="1" outlineLevel="4" x14ac:dyDescent="0.25">
      <c r="A228" s="18" t="s">
        <v>36</v>
      </c>
      <c r="B228" s="8"/>
      <c r="C228" s="8"/>
      <c r="D228" s="8"/>
      <c r="E228" s="19" t="s">
        <v>313</v>
      </c>
      <c r="F228" s="19" t="s">
        <v>497</v>
      </c>
      <c r="G228" s="19" t="s">
        <v>510</v>
      </c>
      <c r="H228" s="19" t="s">
        <v>505</v>
      </c>
      <c r="I228" s="46">
        <f>3109+177</f>
        <v>3286</v>
      </c>
      <c r="J228" s="46">
        <v>3109</v>
      </c>
      <c r="K228" s="46">
        <v>3109</v>
      </c>
      <c r="L228" s="1"/>
    </row>
    <row r="229" spans="1:12" ht="110.25" customHeight="1" outlineLevel="4" x14ac:dyDescent="0.25">
      <c r="A229" s="18" t="s">
        <v>686</v>
      </c>
      <c r="B229" s="8"/>
      <c r="C229" s="8"/>
      <c r="D229" s="8"/>
      <c r="E229" s="19" t="s">
        <v>685</v>
      </c>
      <c r="F229" s="33" t="s">
        <v>492</v>
      </c>
      <c r="G229" s="33" t="s">
        <v>500</v>
      </c>
      <c r="H229" s="33" t="s">
        <v>500</v>
      </c>
      <c r="I229" s="46">
        <f>I230</f>
        <v>1000</v>
      </c>
      <c r="J229" s="46">
        <f t="shared" ref="J229:K229" si="95">J230</f>
        <v>0</v>
      </c>
      <c r="K229" s="46">
        <f t="shared" si="95"/>
        <v>0</v>
      </c>
      <c r="L229" s="1"/>
    </row>
    <row r="230" spans="1:12" ht="50.25" customHeight="1" outlineLevel="4" x14ac:dyDescent="0.25">
      <c r="A230" s="18" t="s">
        <v>36</v>
      </c>
      <c r="B230" s="8"/>
      <c r="C230" s="8"/>
      <c r="D230" s="8"/>
      <c r="E230" s="19" t="s">
        <v>685</v>
      </c>
      <c r="F230" s="33" t="s">
        <v>497</v>
      </c>
      <c r="G230" s="33" t="s">
        <v>510</v>
      </c>
      <c r="H230" s="33" t="s">
        <v>502</v>
      </c>
      <c r="I230" s="46">
        <v>1000</v>
      </c>
      <c r="J230" s="46">
        <v>0</v>
      </c>
      <c r="K230" s="46">
        <v>0</v>
      </c>
      <c r="L230" s="1"/>
    </row>
    <row r="231" spans="1:12" ht="147" customHeight="1" outlineLevel="4" x14ac:dyDescent="0.25">
      <c r="A231" s="18" t="s">
        <v>688</v>
      </c>
      <c r="B231" s="8"/>
      <c r="C231" s="8"/>
      <c r="D231" s="8"/>
      <c r="E231" s="19" t="s">
        <v>687</v>
      </c>
      <c r="F231" s="33" t="s">
        <v>492</v>
      </c>
      <c r="G231" s="33" t="s">
        <v>500</v>
      </c>
      <c r="H231" s="33" t="s">
        <v>500</v>
      </c>
      <c r="I231" s="46">
        <f>I232</f>
        <v>200</v>
      </c>
      <c r="J231" s="46">
        <f t="shared" ref="J231:K231" si="96">J232</f>
        <v>0</v>
      </c>
      <c r="K231" s="46">
        <f t="shared" si="96"/>
        <v>0</v>
      </c>
      <c r="L231" s="1"/>
    </row>
    <row r="232" spans="1:12" ht="50.25" customHeight="1" outlineLevel="4" x14ac:dyDescent="0.25">
      <c r="A232" s="18" t="s">
        <v>36</v>
      </c>
      <c r="B232" s="8"/>
      <c r="C232" s="8"/>
      <c r="D232" s="8"/>
      <c r="E232" s="19" t="s">
        <v>687</v>
      </c>
      <c r="F232" s="33" t="s">
        <v>497</v>
      </c>
      <c r="G232" s="33" t="s">
        <v>510</v>
      </c>
      <c r="H232" s="33" t="s">
        <v>502</v>
      </c>
      <c r="I232" s="46">
        <v>200</v>
      </c>
      <c r="J232" s="46">
        <v>0</v>
      </c>
      <c r="K232" s="46">
        <v>0</v>
      </c>
      <c r="L232" s="1"/>
    </row>
    <row r="233" spans="1:12" ht="93" customHeight="1" outlineLevel="4" x14ac:dyDescent="0.25">
      <c r="A233" s="18" t="s">
        <v>690</v>
      </c>
      <c r="B233" s="8"/>
      <c r="C233" s="8"/>
      <c r="D233" s="8"/>
      <c r="E233" s="19" t="s">
        <v>689</v>
      </c>
      <c r="F233" s="33" t="s">
        <v>492</v>
      </c>
      <c r="G233" s="33" t="s">
        <v>500</v>
      </c>
      <c r="H233" s="33" t="s">
        <v>500</v>
      </c>
      <c r="I233" s="46">
        <f>I234</f>
        <v>50</v>
      </c>
      <c r="J233" s="46">
        <f t="shared" ref="J233:K233" si="97">J234</f>
        <v>0</v>
      </c>
      <c r="K233" s="46">
        <f t="shared" si="97"/>
        <v>0</v>
      </c>
      <c r="L233" s="1"/>
    </row>
    <row r="234" spans="1:12" ht="36" customHeight="1" outlineLevel="4" x14ac:dyDescent="0.25">
      <c r="A234" s="18" t="s">
        <v>45</v>
      </c>
      <c r="B234" s="8"/>
      <c r="C234" s="8"/>
      <c r="D234" s="8"/>
      <c r="E234" s="19" t="s">
        <v>689</v>
      </c>
      <c r="F234" s="33" t="s">
        <v>498</v>
      </c>
      <c r="G234" s="33" t="s">
        <v>510</v>
      </c>
      <c r="H234" s="33" t="s">
        <v>502</v>
      </c>
      <c r="I234" s="46">
        <v>50</v>
      </c>
      <c r="J234" s="46">
        <v>0</v>
      </c>
      <c r="K234" s="46">
        <v>0</v>
      </c>
      <c r="L234" s="1"/>
    </row>
    <row r="235" spans="1:12" ht="50.25" customHeight="1" outlineLevel="4" x14ac:dyDescent="0.25">
      <c r="A235" s="40" t="s">
        <v>613</v>
      </c>
      <c r="B235" s="34"/>
      <c r="C235" s="8"/>
      <c r="D235" s="8"/>
      <c r="E235" s="33" t="s">
        <v>612</v>
      </c>
      <c r="F235" s="19" t="s">
        <v>492</v>
      </c>
      <c r="G235" s="19" t="s">
        <v>500</v>
      </c>
      <c r="H235" s="19" t="s">
        <v>500</v>
      </c>
      <c r="I235" s="46">
        <f>I236</f>
        <v>4544.8999999999996</v>
      </c>
      <c r="J235" s="46">
        <f t="shared" ref="J235:K235" si="98">J236</f>
        <v>0</v>
      </c>
      <c r="K235" s="46">
        <f t="shared" si="98"/>
        <v>0</v>
      </c>
      <c r="L235" s="1"/>
    </row>
    <row r="236" spans="1:12" ht="50.25" customHeight="1" outlineLevel="4" x14ac:dyDescent="0.25">
      <c r="A236" s="18" t="s">
        <v>36</v>
      </c>
      <c r="B236" s="8"/>
      <c r="C236" s="8"/>
      <c r="D236" s="8"/>
      <c r="E236" s="33" t="s">
        <v>612</v>
      </c>
      <c r="F236" s="19" t="s">
        <v>497</v>
      </c>
      <c r="G236" s="19" t="s">
        <v>510</v>
      </c>
      <c r="H236" s="19" t="s">
        <v>505</v>
      </c>
      <c r="I236" s="46">
        <f>544.9+4000</f>
        <v>4544.8999999999996</v>
      </c>
      <c r="J236" s="46">
        <v>0</v>
      </c>
      <c r="K236" s="46">
        <v>0</v>
      </c>
      <c r="L236" s="1"/>
    </row>
    <row r="237" spans="1:12" ht="95.25" customHeight="1" outlineLevel="4" x14ac:dyDescent="0.25">
      <c r="A237" s="40" t="s">
        <v>664</v>
      </c>
      <c r="B237" s="34"/>
      <c r="C237" s="8"/>
      <c r="D237" s="8"/>
      <c r="E237" s="33" t="s">
        <v>663</v>
      </c>
      <c r="F237" s="33" t="s">
        <v>492</v>
      </c>
      <c r="G237" s="33" t="s">
        <v>500</v>
      </c>
      <c r="H237" s="33" t="s">
        <v>500</v>
      </c>
      <c r="I237" s="46">
        <f>I238+I239+I240</f>
        <v>7379.1</v>
      </c>
      <c r="J237" s="46">
        <f t="shared" ref="J237:K237" si="99">J238</f>
        <v>0</v>
      </c>
      <c r="K237" s="46">
        <f t="shared" si="99"/>
        <v>0</v>
      </c>
      <c r="L237" s="1"/>
    </row>
    <row r="238" spans="1:12" ht="49.5" customHeight="1" outlineLevel="4" x14ac:dyDescent="0.25">
      <c r="A238" s="18" t="s">
        <v>36</v>
      </c>
      <c r="B238" s="8"/>
      <c r="C238" s="8"/>
      <c r="D238" s="8"/>
      <c r="E238" s="33" t="s">
        <v>663</v>
      </c>
      <c r="F238" s="33" t="s">
        <v>497</v>
      </c>
      <c r="G238" s="33" t="s">
        <v>510</v>
      </c>
      <c r="H238" s="33" t="s">
        <v>503</v>
      </c>
      <c r="I238" s="46">
        <v>3053.19</v>
      </c>
      <c r="J238" s="46">
        <v>0</v>
      </c>
      <c r="K238" s="46">
        <v>0</v>
      </c>
      <c r="L238" s="1"/>
    </row>
    <row r="239" spans="1:12" ht="49.5" customHeight="1" outlineLevel="4" x14ac:dyDescent="0.25">
      <c r="A239" s="18" t="s">
        <v>36</v>
      </c>
      <c r="B239" s="8"/>
      <c r="C239" s="8"/>
      <c r="D239" s="8"/>
      <c r="E239" s="33" t="s">
        <v>663</v>
      </c>
      <c r="F239" s="33" t="s">
        <v>497</v>
      </c>
      <c r="G239" s="33" t="s">
        <v>510</v>
      </c>
      <c r="H239" s="33" t="s">
        <v>502</v>
      </c>
      <c r="I239" s="46">
        <v>4169.67</v>
      </c>
      <c r="J239" s="46">
        <v>0</v>
      </c>
      <c r="K239" s="46" t="s">
        <v>665</v>
      </c>
      <c r="L239" s="1"/>
    </row>
    <row r="240" spans="1:12" ht="49.5" customHeight="1" outlineLevel="4" x14ac:dyDescent="0.25">
      <c r="A240" s="18" t="s">
        <v>36</v>
      </c>
      <c r="B240" s="8"/>
      <c r="C240" s="8"/>
      <c r="D240" s="8"/>
      <c r="E240" s="33" t="s">
        <v>663</v>
      </c>
      <c r="F240" s="33" t="s">
        <v>497</v>
      </c>
      <c r="G240" s="33" t="s">
        <v>510</v>
      </c>
      <c r="H240" s="33" t="s">
        <v>505</v>
      </c>
      <c r="I240" s="46">
        <v>156.24</v>
      </c>
      <c r="J240" s="46">
        <v>0</v>
      </c>
      <c r="K240" s="46">
        <v>0</v>
      </c>
      <c r="L240" s="1"/>
    </row>
    <row r="241" spans="1:12" ht="98.25" customHeight="1" outlineLevel="4" x14ac:dyDescent="0.25">
      <c r="A241" s="40" t="s">
        <v>669</v>
      </c>
      <c r="B241" s="34"/>
      <c r="C241" s="8"/>
      <c r="D241" s="8"/>
      <c r="E241" s="33" t="s">
        <v>668</v>
      </c>
      <c r="F241" s="19" t="s">
        <v>492</v>
      </c>
      <c r="G241" s="19" t="s">
        <v>500</v>
      </c>
      <c r="H241" s="19" t="s">
        <v>500</v>
      </c>
      <c r="I241" s="46">
        <f>I242</f>
        <v>1182</v>
      </c>
      <c r="J241" s="46">
        <f t="shared" ref="J241:K241" si="100">J242</f>
        <v>0</v>
      </c>
      <c r="K241" s="46">
        <f t="shared" si="100"/>
        <v>0</v>
      </c>
      <c r="L241" s="1"/>
    </row>
    <row r="242" spans="1:12" ht="49.5" customHeight="1" outlineLevel="4" x14ac:dyDescent="0.25">
      <c r="A242" s="18" t="s">
        <v>36</v>
      </c>
      <c r="B242" s="8"/>
      <c r="C242" s="8"/>
      <c r="D242" s="8"/>
      <c r="E242" s="33" t="s">
        <v>668</v>
      </c>
      <c r="F242" s="19" t="s">
        <v>497</v>
      </c>
      <c r="G242" s="19" t="s">
        <v>510</v>
      </c>
      <c r="H242" s="19" t="s">
        <v>502</v>
      </c>
      <c r="I242" s="46">
        <v>1182</v>
      </c>
      <c r="J242" s="46">
        <v>0</v>
      </c>
      <c r="K242" s="46">
        <v>0</v>
      </c>
      <c r="L242" s="1"/>
    </row>
    <row r="243" spans="1:12" ht="78.75" x14ac:dyDescent="0.25">
      <c r="A243" s="18" t="s">
        <v>94</v>
      </c>
      <c r="B243" s="8"/>
      <c r="C243" s="8"/>
      <c r="D243" s="8"/>
      <c r="E243" s="19" t="s">
        <v>314</v>
      </c>
      <c r="F243" s="19" t="s">
        <v>492</v>
      </c>
      <c r="G243" s="19" t="s">
        <v>500</v>
      </c>
      <c r="H243" s="19" t="s">
        <v>500</v>
      </c>
      <c r="I243" s="46">
        <f>I244</f>
        <v>58543</v>
      </c>
      <c r="J243" s="46">
        <f t="shared" ref="J243:K243" si="101">J244</f>
        <v>58543</v>
      </c>
      <c r="K243" s="46">
        <f t="shared" si="101"/>
        <v>56384.3</v>
      </c>
      <c r="L243" s="1"/>
    </row>
    <row r="244" spans="1:12" ht="51.75" customHeight="1" outlineLevel="1" x14ac:dyDescent="0.25">
      <c r="A244" s="18" t="s">
        <v>36</v>
      </c>
      <c r="B244" s="8"/>
      <c r="C244" s="8"/>
      <c r="D244" s="8"/>
      <c r="E244" s="19" t="s">
        <v>314</v>
      </c>
      <c r="F244" s="19" t="s">
        <v>497</v>
      </c>
      <c r="G244" s="19" t="s">
        <v>510</v>
      </c>
      <c r="H244" s="19" t="s">
        <v>502</v>
      </c>
      <c r="I244" s="46">
        <v>58543</v>
      </c>
      <c r="J244" s="46">
        <v>58543</v>
      </c>
      <c r="K244" s="46">
        <v>56384.3</v>
      </c>
      <c r="L244" s="1"/>
    </row>
    <row r="245" spans="1:12" ht="66.75" customHeight="1" outlineLevel="4" x14ac:dyDescent="0.25">
      <c r="A245" s="18" t="s">
        <v>95</v>
      </c>
      <c r="B245" s="8"/>
      <c r="C245" s="8"/>
      <c r="D245" s="8"/>
      <c r="E245" s="19" t="s">
        <v>315</v>
      </c>
      <c r="F245" s="19" t="s">
        <v>492</v>
      </c>
      <c r="G245" s="19" t="s">
        <v>500</v>
      </c>
      <c r="H245" s="19" t="s">
        <v>500</v>
      </c>
      <c r="I245" s="46">
        <f>I246</f>
        <v>813</v>
      </c>
      <c r="J245" s="46">
        <f t="shared" ref="J245:K245" si="102">J246</f>
        <v>813</v>
      </c>
      <c r="K245" s="46">
        <f t="shared" si="102"/>
        <v>813</v>
      </c>
      <c r="L245" s="1"/>
    </row>
    <row r="246" spans="1:12" ht="47.25" customHeight="1" outlineLevel="5" x14ac:dyDescent="0.25">
      <c r="A246" s="18" t="s">
        <v>36</v>
      </c>
      <c r="B246" s="8"/>
      <c r="C246" s="8"/>
      <c r="D246" s="8"/>
      <c r="E246" s="19" t="s">
        <v>315</v>
      </c>
      <c r="F246" s="19" t="s">
        <v>497</v>
      </c>
      <c r="G246" s="19" t="s">
        <v>510</v>
      </c>
      <c r="H246" s="33" t="s">
        <v>509</v>
      </c>
      <c r="I246" s="46">
        <f>813</f>
        <v>813</v>
      </c>
      <c r="J246" s="46">
        <v>813</v>
      </c>
      <c r="K246" s="46">
        <v>813</v>
      </c>
      <c r="L246" s="1"/>
    </row>
    <row r="247" spans="1:12" ht="51" customHeight="1" outlineLevel="4" x14ac:dyDescent="0.25">
      <c r="A247" s="18" t="s">
        <v>96</v>
      </c>
      <c r="B247" s="8"/>
      <c r="C247" s="8"/>
      <c r="D247" s="8"/>
      <c r="E247" s="19" t="s">
        <v>316</v>
      </c>
      <c r="F247" s="19" t="s">
        <v>492</v>
      </c>
      <c r="G247" s="19" t="s">
        <v>500</v>
      </c>
      <c r="H247" s="19" t="s">
        <v>500</v>
      </c>
      <c r="I247" s="46">
        <f>I248</f>
        <v>9563</v>
      </c>
      <c r="J247" s="46">
        <f t="shared" ref="J247:K247" si="103">J248</f>
        <v>9563</v>
      </c>
      <c r="K247" s="46">
        <f t="shared" si="103"/>
        <v>9563</v>
      </c>
      <c r="L247" s="1"/>
    </row>
    <row r="248" spans="1:12" ht="51" customHeight="1" outlineLevel="5" x14ac:dyDescent="0.25">
      <c r="A248" s="18" t="s">
        <v>36</v>
      </c>
      <c r="B248" s="8"/>
      <c r="C248" s="8"/>
      <c r="D248" s="8"/>
      <c r="E248" s="19" t="s">
        <v>316</v>
      </c>
      <c r="F248" s="19" t="s">
        <v>497</v>
      </c>
      <c r="G248" s="19" t="s">
        <v>510</v>
      </c>
      <c r="H248" s="33" t="s">
        <v>509</v>
      </c>
      <c r="I248" s="46">
        <v>9563</v>
      </c>
      <c r="J248" s="46">
        <v>9563</v>
      </c>
      <c r="K248" s="46">
        <v>9563</v>
      </c>
      <c r="L248" s="1"/>
    </row>
    <row r="249" spans="1:12" ht="94.5" outlineLevel="4" x14ac:dyDescent="0.25">
      <c r="A249" s="18" t="s">
        <v>97</v>
      </c>
      <c r="B249" s="8"/>
      <c r="C249" s="8"/>
      <c r="D249" s="8"/>
      <c r="E249" s="19" t="s">
        <v>317</v>
      </c>
      <c r="F249" s="19" t="s">
        <v>492</v>
      </c>
      <c r="G249" s="19" t="s">
        <v>500</v>
      </c>
      <c r="H249" s="19" t="s">
        <v>500</v>
      </c>
      <c r="I249" s="46">
        <f>I250</f>
        <v>99.2</v>
      </c>
      <c r="J249" s="46">
        <f t="shared" ref="J249:K249" si="104">J250</f>
        <v>122.9</v>
      </c>
      <c r="K249" s="46">
        <f t="shared" si="104"/>
        <v>101.5</v>
      </c>
      <c r="L249" s="1"/>
    </row>
    <row r="250" spans="1:12" ht="49.5" customHeight="1" outlineLevel="5" x14ac:dyDescent="0.25">
      <c r="A250" s="18" t="s">
        <v>36</v>
      </c>
      <c r="B250" s="8"/>
      <c r="C250" s="8"/>
      <c r="D250" s="8"/>
      <c r="E250" s="19" t="s">
        <v>317</v>
      </c>
      <c r="F250" s="19" t="s">
        <v>497</v>
      </c>
      <c r="G250" s="19" t="s">
        <v>510</v>
      </c>
      <c r="H250" s="19" t="s">
        <v>502</v>
      </c>
      <c r="I250" s="46">
        <v>99.2</v>
      </c>
      <c r="J250" s="46">
        <v>122.9</v>
      </c>
      <c r="K250" s="46">
        <v>101.5</v>
      </c>
      <c r="L250" s="1"/>
    </row>
    <row r="251" spans="1:12" ht="63" customHeight="1" outlineLevel="3" x14ac:dyDescent="0.25">
      <c r="A251" s="18" t="s">
        <v>98</v>
      </c>
      <c r="B251" s="8"/>
      <c r="C251" s="8"/>
      <c r="D251" s="8"/>
      <c r="E251" s="19" t="s">
        <v>318</v>
      </c>
      <c r="F251" s="19" t="s">
        <v>492</v>
      </c>
      <c r="G251" s="19" t="s">
        <v>500</v>
      </c>
      <c r="H251" s="19" t="s">
        <v>500</v>
      </c>
      <c r="I251" s="46">
        <f>I252+I253+I254</f>
        <v>3544.7</v>
      </c>
      <c r="J251" s="46">
        <f t="shared" ref="J251:K251" si="105">J252+J253+J254</f>
        <v>3544.7</v>
      </c>
      <c r="K251" s="46">
        <f t="shared" si="105"/>
        <v>3544.7</v>
      </c>
      <c r="L251" s="20"/>
    </row>
    <row r="252" spans="1:12" ht="53.25" customHeight="1" outlineLevel="6" x14ac:dyDescent="0.25">
      <c r="A252" s="18" t="s">
        <v>36</v>
      </c>
      <c r="B252" s="8"/>
      <c r="C252" s="8"/>
      <c r="D252" s="8"/>
      <c r="E252" s="19" t="s">
        <v>318</v>
      </c>
      <c r="F252" s="19" t="s">
        <v>497</v>
      </c>
      <c r="G252" s="19" t="s">
        <v>510</v>
      </c>
      <c r="H252" s="19" t="s">
        <v>503</v>
      </c>
      <c r="I252" s="46">
        <v>1501.7</v>
      </c>
      <c r="J252" s="46">
        <v>2241.4</v>
      </c>
      <c r="K252" s="46">
        <v>2241.4</v>
      </c>
      <c r="L252" s="20"/>
    </row>
    <row r="253" spans="1:12" ht="53.25" customHeight="1" outlineLevel="4" x14ac:dyDescent="0.25">
      <c r="A253" s="18" t="s">
        <v>36</v>
      </c>
      <c r="B253" s="8"/>
      <c r="C253" s="8"/>
      <c r="D253" s="8"/>
      <c r="E253" s="19" t="s">
        <v>318</v>
      </c>
      <c r="F253" s="19" t="s">
        <v>497</v>
      </c>
      <c r="G253" s="19" t="s">
        <v>510</v>
      </c>
      <c r="H253" s="19" t="s">
        <v>502</v>
      </c>
      <c r="I253" s="46">
        <v>1445.3</v>
      </c>
      <c r="J253" s="46">
        <v>705.6</v>
      </c>
      <c r="K253" s="46">
        <v>705.6</v>
      </c>
      <c r="L253" s="1"/>
    </row>
    <row r="254" spans="1:12" ht="49.5" customHeight="1" outlineLevel="5" x14ac:dyDescent="0.25">
      <c r="A254" s="18" t="s">
        <v>36</v>
      </c>
      <c r="B254" s="8"/>
      <c r="C254" s="8"/>
      <c r="D254" s="8"/>
      <c r="E254" s="19" t="s">
        <v>318</v>
      </c>
      <c r="F254" s="19" t="s">
        <v>497</v>
      </c>
      <c r="G254" s="19" t="s">
        <v>510</v>
      </c>
      <c r="H254" s="33" t="s">
        <v>509</v>
      </c>
      <c r="I254" s="46">
        <v>597.70000000000005</v>
      </c>
      <c r="J254" s="46">
        <v>597.70000000000005</v>
      </c>
      <c r="K254" s="46">
        <v>597.70000000000005</v>
      </c>
      <c r="L254" s="1"/>
    </row>
    <row r="255" spans="1:12" ht="49.5" customHeight="1" outlineLevel="5" x14ac:dyDescent="0.25">
      <c r="A255" s="40" t="s">
        <v>613</v>
      </c>
      <c r="B255" s="8"/>
      <c r="C255" s="8"/>
      <c r="D255" s="8"/>
      <c r="E255" s="19" t="s">
        <v>629</v>
      </c>
      <c r="F255" s="19" t="s">
        <v>492</v>
      </c>
      <c r="G255" s="19" t="s">
        <v>500</v>
      </c>
      <c r="H255" s="19" t="s">
        <v>500</v>
      </c>
      <c r="I255" s="46">
        <f>I256</f>
        <v>239.29999999999998</v>
      </c>
      <c r="J255" s="46">
        <f t="shared" ref="J255:K255" si="106">J256</f>
        <v>0</v>
      </c>
      <c r="K255" s="46">
        <f t="shared" si="106"/>
        <v>0</v>
      </c>
      <c r="L255" s="1"/>
    </row>
    <row r="256" spans="1:12" ht="49.5" customHeight="1" outlineLevel="5" x14ac:dyDescent="0.25">
      <c r="A256" s="18" t="s">
        <v>36</v>
      </c>
      <c r="B256" s="8"/>
      <c r="C256" s="8"/>
      <c r="D256" s="8"/>
      <c r="E256" s="19" t="s">
        <v>629</v>
      </c>
      <c r="F256" s="19">
        <v>600</v>
      </c>
      <c r="G256" s="19" t="s">
        <v>510</v>
      </c>
      <c r="H256" s="33" t="s">
        <v>505</v>
      </c>
      <c r="I256" s="46">
        <f>28.7+210.6</f>
        <v>239.29999999999998</v>
      </c>
      <c r="J256" s="46">
        <v>0</v>
      </c>
      <c r="K256" s="46">
        <v>0</v>
      </c>
      <c r="L256" s="1"/>
    </row>
    <row r="257" spans="1:12" ht="96" customHeight="1" outlineLevel="5" x14ac:dyDescent="0.25">
      <c r="A257" s="18" t="s">
        <v>675</v>
      </c>
      <c r="B257" s="8"/>
      <c r="C257" s="8"/>
      <c r="D257" s="8"/>
      <c r="E257" s="33" t="s">
        <v>674</v>
      </c>
      <c r="F257" s="33" t="s">
        <v>492</v>
      </c>
      <c r="G257" s="33" t="s">
        <v>500</v>
      </c>
      <c r="H257" s="33" t="s">
        <v>500</v>
      </c>
      <c r="I257" s="46">
        <f>I258</f>
        <v>176.62100000000001</v>
      </c>
      <c r="J257" s="46">
        <f t="shared" ref="J257:K257" si="107">J258</f>
        <v>0</v>
      </c>
      <c r="K257" s="46">
        <f t="shared" si="107"/>
        <v>0</v>
      </c>
      <c r="L257" s="1"/>
    </row>
    <row r="258" spans="1:12" ht="49.5" customHeight="1" outlineLevel="5" x14ac:dyDescent="0.25">
      <c r="A258" s="18" t="s">
        <v>36</v>
      </c>
      <c r="B258" s="8"/>
      <c r="C258" s="8"/>
      <c r="D258" s="8"/>
      <c r="E258" s="33" t="s">
        <v>674</v>
      </c>
      <c r="F258" s="33" t="s">
        <v>497</v>
      </c>
      <c r="G258" s="33" t="s">
        <v>510</v>
      </c>
      <c r="H258" s="33" t="s">
        <v>502</v>
      </c>
      <c r="I258" s="46">
        <v>176.62100000000001</v>
      </c>
      <c r="J258" s="46">
        <v>0</v>
      </c>
      <c r="K258" s="46">
        <v>0</v>
      </c>
      <c r="L258" s="1"/>
    </row>
    <row r="259" spans="1:12" ht="18.75" customHeight="1" outlineLevel="6" x14ac:dyDescent="0.25">
      <c r="A259" s="32" t="s">
        <v>24</v>
      </c>
      <c r="B259" s="8"/>
      <c r="C259" s="8"/>
      <c r="D259" s="8"/>
      <c r="E259" s="8" t="s">
        <v>319</v>
      </c>
      <c r="F259" s="8" t="s">
        <v>492</v>
      </c>
      <c r="G259" s="8" t="s">
        <v>500</v>
      </c>
      <c r="H259" s="8" t="s">
        <v>500</v>
      </c>
      <c r="I259" s="45">
        <f>I260+I279+I310+I326+I336+I340+I321</f>
        <v>1474009.9723999999</v>
      </c>
      <c r="J259" s="45">
        <f t="shared" ref="J259:K259" si="108">J260+J279+J310+J326+J336+J340</f>
        <v>1427926</v>
      </c>
      <c r="K259" s="45">
        <f t="shared" si="108"/>
        <v>1425473.1000000003</v>
      </c>
      <c r="L259" s="1"/>
    </row>
    <row r="260" spans="1:12" ht="78" customHeight="1" x14ac:dyDescent="0.25">
      <c r="A260" s="18" t="s">
        <v>99</v>
      </c>
      <c r="B260" s="8"/>
      <c r="C260" s="8"/>
      <c r="D260" s="8"/>
      <c r="E260" s="19" t="s">
        <v>320</v>
      </c>
      <c r="F260" s="19" t="s">
        <v>492</v>
      </c>
      <c r="G260" s="19" t="s">
        <v>500</v>
      </c>
      <c r="H260" s="19" t="s">
        <v>500</v>
      </c>
      <c r="I260" s="46">
        <f>I261+I263+I265+I267+I270+I273+I275+I277</f>
        <v>661464.56359999999</v>
      </c>
      <c r="J260" s="46">
        <f t="shared" ref="J260:K260" si="109">J261+J263+J265+J267+J270+J273+J275+J277</f>
        <v>649489.69999999995</v>
      </c>
      <c r="K260" s="46">
        <f t="shared" si="109"/>
        <v>649656.30000000005</v>
      </c>
      <c r="L260" s="1"/>
    </row>
    <row r="261" spans="1:12" ht="32.25" customHeight="1" outlineLevel="1" x14ac:dyDescent="0.25">
      <c r="A261" s="18" t="s">
        <v>100</v>
      </c>
      <c r="B261" s="8"/>
      <c r="C261" s="8"/>
      <c r="D261" s="8"/>
      <c r="E261" s="19" t="s">
        <v>321</v>
      </c>
      <c r="F261" s="19" t="s">
        <v>492</v>
      </c>
      <c r="G261" s="19" t="s">
        <v>500</v>
      </c>
      <c r="H261" s="19" t="s">
        <v>500</v>
      </c>
      <c r="I261" s="46">
        <f>I262</f>
        <v>3000</v>
      </c>
      <c r="J261" s="46">
        <f t="shared" ref="J261:K261" si="110">J262</f>
        <v>1626.4</v>
      </c>
      <c r="K261" s="46">
        <f t="shared" si="110"/>
        <v>1626.4</v>
      </c>
      <c r="L261" s="1"/>
    </row>
    <row r="262" spans="1:12" ht="51.75" customHeight="1" outlineLevel="2" x14ac:dyDescent="0.25">
      <c r="A262" s="18" t="s">
        <v>36</v>
      </c>
      <c r="B262" s="8"/>
      <c r="C262" s="8"/>
      <c r="D262" s="8"/>
      <c r="E262" s="19" t="s">
        <v>321</v>
      </c>
      <c r="F262" s="19" t="s">
        <v>497</v>
      </c>
      <c r="G262" s="19" t="s">
        <v>510</v>
      </c>
      <c r="H262" s="19" t="s">
        <v>503</v>
      </c>
      <c r="I262" s="46">
        <f>1000+2000</f>
        <v>3000</v>
      </c>
      <c r="J262" s="46">
        <v>1626.4</v>
      </c>
      <c r="K262" s="46">
        <v>1626.4</v>
      </c>
      <c r="L262" s="1"/>
    </row>
    <row r="263" spans="1:12" ht="35.25" customHeight="1" outlineLevel="5" x14ac:dyDescent="0.25">
      <c r="A263" s="18" t="s">
        <v>101</v>
      </c>
      <c r="B263" s="8"/>
      <c r="C263" s="8"/>
      <c r="D263" s="8"/>
      <c r="E263" s="19" t="s">
        <v>322</v>
      </c>
      <c r="F263" s="19" t="s">
        <v>492</v>
      </c>
      <c r="G263" s="19" t="s">
        <v>500</v>
      </c>
      <c r="H263" s="19" t="s">
        <v>500</v>
      </c>
      <c r="I263" s="46">
        <f>I264</f>
        <v>0</v>
      </c>
      <c r="J263" s="46">
        <f t="shared" ref="J263:K263" si="111">J264</f>
        <v>600</v>
      </c>
      <c r="K263" s="46">
        <f t="shared" si="111"/>
        <v>600</v>
      </c>
      <c r="L263" s="1"/>
    </row>
    <row r="264" spans="1:12" ht="49.5" customHeight="1" outlineLevel="6" x14ac:dyDescent="0.25">
      <c r="A264" s="18" t="s">
        <v>36</v>
      </c>
      <c r="B264" s="8"/>
      <c r="C264" s="8"/>
      <c r="D264" s="8"/>
      <c r="E264" s="19" t="s">
        <v>322</v>
      </c>
      <c r="F264" s="19" t="s">
        <v>497</v>
      </c>
      <c r="G264" s="19" t="s">
        <v>510</v>
      </c>
      <c r="H264" s="19" t="s">
        <v>503</v>
      </c>
      <c r="I264" s="46">
        <v>0</v>
      </c>
      <c r="J264" s="46">
        <v>600</v>
      </c>
      <c r="K264" s="46">
        <v>600</v>
      </c>
      <c r="L264" s="1"/>
    </row>
    <row r="265" spans="1:12" ht="47.25" outlineLevel="6" x14ac:dyDescent="0.25">
      <c r="A265" s="18" t="s">
        <v>102</v>
      </c>
      <c r="B265" s="8"/>
      <c r="C265" s="8"/>
      <c r="D265" s="8"/>
      <c r="E265" s="19" t="s">
        <v>323</v>
      </c>
      <c r="F265" s="19" t="s">
        <v>492</v>
      </c>
      <c r="G265" s="19" t="s">
        <v>500</v>
      </c>
      <c r="H265" s="19" t="s">
        <v>500</v>
      </c>
      <c r="I265" s="46">
        <f>I266</f>
        <v>150</v>
      </c>
      <c r="J265" s="46">
        <f t="shared" ref="J265:K265" si="112">J266</f>
        <v>150</v>
      </c>
      <c r="K265" s="46">
        <f t="shared" si="112"/>
        <v>150</v>
      </c>
      <c r="L265" s="1"/>
    </row>
    <row r="266" spans="1:12" ht="31.5" outlineLevel="2" x14ac:dyDescent="0.25">
      <c r="A266" s="18" t="s">
        <v>45</v>
      </c>
      <c r="B266" s="8"/>
      <c r="C266" s="8"/>
      <c r="D266" s="8"/>
      <c r="E266" s="19" t="s">
        <v>323</v>
      </c>
      <c r="F266" s="19" t="s">
        <v>498</v>
      </c>
      <c r="G266" s="19" t="s">
        <v>510</v>
      </c>
      <c r="H266" s="19" t="s">
        <v>503</v>
      </c>
      <c r="I266" s="46">
        <v>150</v>
      </c>
      <c r="J266" s="46">
        <v>150</v>
      </c>
      <c r="K266" s="46">
        <v>150</v>
      </c>
      <c r="L266" s="1"/>
    </row>
    <row r="267" spans="1:12" ht="31.5" outlineLevel="5" x14ac:dyDescent="0.25">
      <c r="A267" s="18" t="s">
        <v>103</v>
      </c>
      <c r="B267" s="8"/>
      <c r="C267" s="8"/>
      <c r="D267" s="8"/>
      <c r="E267" s="19" t="s">
        <v>324</v>
      </c>
      <c r="F267" s="19" t="s">
        <v>492</v>
      </c>
      <c r="G267" s="19" t="s">
        <v>500</v>
      </c>
      <c r="H267" s="19" t="s">
        <v>500</v>
      </c>
      <c r="I267" s="46">
        <f>I268+I269</f>
        <v>1970.3</v>
      </c>
      <c r="J267" s="46">
        <f t="shared" ref="J267:K267" si="113">J268+J269</f>
        <v>1970.3</v>
      </c>
      <c r="K267" s="46">
        <f t="shared" si="113"/>
        <v>1970.3</v>
      </c>
      <c r="L267" s="1"/>
    </row>
    <row r="268" spans="1:12" ht="47.25" outlineLevel="6" x14ac:dyDescent="0.25">
      <c r="A268" s="18" t="s">
        <v>30</v>
      </c>
      <c r="B268" s="8"/>
      <c r="C268" s="8"/>
      <c r="D268" s="8"/>
      <c r="E268" s="19" t="s">
        <v>324</v>
      </c>
      <c r="F268" s="19" t="s">
        <v>495</v>
      </c>
      <c r="G268" s="19" t="s">
        <v>508</v>
      </c>
      <c r="H268" s="19" t="s">
        <v>505</v>
      </c>
      <c r="I268" s="46">
        <v>19.5</v>
      </c>
      <c r="J268" s="46">
        <v>19.5</v>
      </c>
      <c r="K268" s="46">
        <v>19.5</v>
      </c>
      <c r="L268" s="1"/>
    </row>
    <row r="269" spans="1:12" ht="31.5" outlineLevel="4" x14ac:dyDescent="0.25">
      <c r="A269" s="18" t="s">
        <v>45</v>
      </c>
      <c r="B269" s="8"/>
      <c r="C269" s="8"/>
      <c r="D269" s="8"/>
      <c r="E269" s="19" t="s">
        <v>324</v>
      </c>
      <c r="F269" s="19" t="s">
        <v>498</v>
      </c>
      <c r="G269" s="19" t="s">
        <v>508</v>
      </c>
      <c r="H269" s="19" t="s">
        <v>505</v>
      </c>
      <c r="I269" s="46">
        <v>1950.8</v>
      </c>
      <c r="J269" s="46">
        <v>1950.8</v>
      </c>
      <c r="K269" s="46">
        <v>1950.8</v>
      </c>
      <c r="L269" s="1"/>
    </row>
    <row r="270" spans="1:12" ht="82.5" customHeight="1" outlineLevel="2" x14ac:dyDescent="0.25">
      <c r="A270" s="18" t="s">
        <v>104</v>
      </c>
      <c r="B270" s="8"/>
      <c r="C270" s="8"/>
      <c r="D270" s="8"/>
      <c r="E270" s="19" t="s">
        <v>325</v>
      </c>
      <c r="F270" s="19" t="s">
        <v>492</v>
      </c>
      <c r="G270" s="19" t="s">
        <v>500</v>
      </c>
      <c r="H270" s="19" t="s">
        <v>500</v>
      </c>
      <c r="I270" s="46">
        <f>I271+I272</f>
        <v>47066.8</v>
      </c>
      <c r="J270" s="46">
        <f t="shared" ref="J270:K270" si="114">J271+J272</f>
        <v>47066.8</v>
      </c>
      <c r="K270" s="46">
        <f t="shared" si="114"/>
        <v>47066.8</v>
      </c>
      <c r="L270" s="1"/>
    </row>
    <row r="271" spans="1:12" ht="49.5" customHeight="1" outlineLevel="3" x14ac:dyDescent="0.25">
      <c r="A271" s="18" t="s">
        <v>30</v>
      </c>
      <c r="B271" s="8"/>
      <c r="C271" s="8"/>
      <c r="D271" s="8"/>
      <c r="E271" s="19" t="s">
        <v>325</v>
      </c>
      <c r="F271" s="19" t="s">
        <v>495</v>
      </c>
      <c r="G271" s="19" t="s">
        <v>508</v>
      </c>
      <c r="H271" s="19" t="s">
        <v>506</v>
      </c>
      <c r="I271" s="46">
        <v>466</v>
      </c>
      <c r="J271" s="46">
        <v>466</v>
      </c>
      <c r="K271" s="46">
        <v>466</v>
      </c>
      <c r="L271" s="1"/>
    </row>
    <row r="272" spans="1:12" ht="31.5" outlineLevel="6" x14ac:dyDescent="0.25">
      <c r="A272" s="18" t="s">
        <v>45</v>
      </c>
      <c r="B272" s="8"/>
      <c r="C272" s="8"/>
      <c r="D272" s="8"/>
      <c r="E272" s="19" t="s">
        <v>325</v>
      </c>
      <c r="F272" s="19" t="s">
        <v>498</v>
      </c>
      <c r="G272" s="19" t="s">
        <v>508</v>
      </c>
      <c r="H272" s="19" t="s">
        <v>506</v>
      </c>
      <c r="I272" s="46">
        <v>46600.800000000003</v>
      </c>
      <c r="J272" s="46">
        <v>46600.800000000003</v>
      </c>
      <c r="K272" s="46">
        <v>46600.800000000003</v>
      </c>
      <c r="L272" s="1"/>
    </row>
    <row r="273" spans="1:12" ht="145.5" customHeight="1" outlineLevel="6" x14ac:dyDescent="0.25">
      <c r="A273" s="18" t="s">
        <v>105</v>
      </c>
      <c r="B273" s="8"/>
      <c r="C273" s="8"/>
      <c r="D273" s="8"/>
      <c r="E273" s="19" t="s">
        <v>326</v>
      </c>
      <c r="F273" s="19" t="s">
        <v>492</v>
      </c>
      <c r="G273" s="19" t="s">
        <v>500</v>
      </c>
      <c r="H273" s="19" t="s">
        <v>500</v>
      </c>
      <c r="I273" s="46">
        <f>I274</f>
        <v>900</v>
      </c>
      <c r="J273" s="46">
        <f t="shared" ref="J273:K273" si="115">J274</f>
        <v>900</v>
      </c>
      <c r="K273" s="46">
        <f t="shared" si="115"/>
        <v>900</v>
      </c>
      <c r="L273" s="1"/>
    </row>
    <row r="274" spans="1:12" ht="50.25" customHeight="1" outlineLevel="4" x14ac:dyDescent="0.25">
      <c r="A274" s="18" t="s">
        <v>36</v>
      </c>
      <c r="B274" s="8"/>
      <c r="C274" s="8"/>
      <c r="D274" s="8"/>
      <c r="E274" s="19" t="s">
        <v>326</v>
      </c>
      <c r="F274" s="19" t="s">
        <v>497</v>
      </c>
      <c r="G274" s="19" t="s">
        <v>510</v>
      </c>
      <c r="H274" s="19" t="s">
        <v>503</v>
      </c>
      <c r="I274" s="46">
        <v>900</v>
      </c>
      <c r="J274" s="46">
        <v>900</v>
      </c>
      <c r="K274" s="46">
        <v>900</v>
      </c>
      <c r="L274" s="1"/>
    </row>
    <row r="275" spans="1:12" ht="157.5" x14ac:dyDescent="0.25">
      <c r="A275" s="18" t="s">
        <v>106</v>
      </c>
      <c r="B275" s="8"/>
      <c r="C275" s="8"/>
      <c r="D275" s="8"/>
      <c r="E275" s="19" t="s">
        <v>327</v>
      </c>
      <c r="F275" s="19" t="s">
        <v>492</v>
      </c>
      <c r="G275" s="19" t="s">
        <v>500</v>
      </c>
      <c r="H275" s="19" t="s">
        <v>500</v>
      </c>
      <c r="I275" s="46">
        <f>I276</f>
        <v>345222.7</v>
      </c>
      <c r="J275" s="46">
        <f t="shared" ref="J275:K275" si="116">J276</f>
        <v>333200</v>
      </c>
      <c r="K275" s="46">
        <f t="shared" si="116"/>
        <v>333200</v>
      </c>
      <c r="L275" s="1"/>
    </row>
    <row r="276" spans="1:12" ht="51.75" customHeight="1" outlineLevel="1" x14ac:dyDescent="0.25">
      <c r="A276" s="18" t="s">
        <v>36</v>
      </c>
      <c r="B276" s="8"/>
      <c r="C276" s="8"/>
      <c r="D276" s="8"/>
      <c r="E276" s="19" t="s">
        <v>327</v>
      </c>
      <c r="F276" s="19" t="s">
        <v>497</v>
      </c>
      <c r="G276" s="19" t="s">
        <v>510</v>
      </c>
      <c r="H276" s="19" t="s">
        <v>503</v>
      </c>
      <c r="I276" s="46">
        <f>333200+12022.7</f>
        <v>345222.7</v>
      </c>
      <c r="J276" s="46">
        <v>333200</v>
      </c>
      <c r="K276" s="46">
        <v>333200</v>
      </c>
      <c r="L276" s="1"/>
    </row>
    <row r="277" spans="1:12" ht="49.5" customHeight="1" outlineLevel="4" x14ac:dyDescent="0.25">
      <c r="A277" s="18" t="s">
        <v>107</v>
      </c>
      <c r="B277" s="8"/>
      <c r="C277" s="8"/>
      <c r="D277" s="8"/>
      <c r="E277" s="19" t="s">
        <v>328</v>
      </c>
      <c r="F277" s="19" t="s">
        <v>492</v>
      </c>
      <c r="G277" s="19" t="s">
        <v>500</v>
      </c>
      <c r="H277" s="19" t="s">
        <v>500</v>
      </c>
      <c r="I277" s="46">
        <f>I278</f>
        <v>263154.76360000001</v>
      </c>
      <c r="J277" s="46">
        <f t="shared" ref="J277:K277" si="117">J278</f>
        <v>263976.2</v>
      </c>
      <c r="K277" s="46">
        <f t="shared" si="117"/>
        <v>264142.8</v>
      </c>
      <c r="L277" s="1"/>
    </row>
    <row r="278" spans="1:12" ht="48.75" customHeight="1" outlineLevel="5" x14ac:dyDescent="0.25">
      <c r="A278" s="18" t="s">
        <v>36</v>
      </c>
      <c r="B278" s="8"/>
      <c r="C278" s="8"/>
      <c r="D278" s="8"/>
      <c r="E278" s="19" t="s">
        <v>328</v>
      </c>
      <c r="F278" s="19" t="s">
        <v>497</v>
      </c>
      <c r="G278" s="19" t="s">
        <v>510</v>
      </c>
      <c r="H278" s="19" t="s">
        <v>503</v>
      </c>
      <c r="I278" s="46">
        <f>260877.4+85.974+219+1972.3896</f>
        <v>263154.76360000001</v>
      </c>
      <c r="J278" s="46">
        <v>263976.2</v>
      </c>
      <c r="K278" s="46">
        <v>264142.8</v>
      </c>
      <c r="L278" s="1"/>
    </row>
    <row r="279" spans="1:12" ht="81.75" customHeight="1" outlineLevel="4" x14ac:dyDescent="0.25">
      <c r="A279" s="18" t="s">
        <v>108</v>
      </c>
      <c r="B279" s="8"/>
      <c r="C279" s="8"/>
      <c r="D279" s="8"/>
      <c r="E279" s="19" t="s">
        <v>329</v>
      </c>
      <c r="F279" s="19" t="s">
        <v>492</v>
      </c>
      <c r="G279" s="19" t="s">
        <v>500</v>
      </c>
      <c r="H279" s="19" t="s">
        <v>500</v>
      </c>
      <c r="I279" s="46">
        <f>I280+I282+I284+I286+I288+I290+I292+I294+I300+I308+I302+I298+I306</f>
        <v>650160.08500000008</v>
      </c>
      <c r="J279" s="46">
        <f>J280+J282+J284+J286+J288+J290+J292+J294+J300+J308+J296+J304</f>
        <v>626203</v>
      </c>
      <c r="K279" s="46">
        <f t="shared" ref="K279" si="118">K280+K282+K284+K286+K288+K290+K292+K294+K300+K308</f>
        <v>623514.9</v>
      </c>
      <c r="L279" s="1"/>
    </row>
    <row r="280" spans="1:12" ht="80.25" customHeight="1" outlineLevel="5" x14ac:dyDescent="0.25">
      <c r="A280" s="18" t="s">
        <v>109</v>
      </c>
      <c r="B280" s="8"/>
      <c r="C280" s="8"/>
      <c r="D280" s="8"/>
      <c r="E280" s="19" t="s">
        <v>330</v>
      </c>
      <c r="F280" s="19" t="s">
        <v>492</v>
      </c>
      <c r="G280" s="19" t="s">
        <v>500</v>
      </c>
      <c r="H280" s="19" t="s">
        <v>500</v>
      </c>
      <c r="I280" s="46">
        <f>I281</f>
        <v>0</v>
      </c>
      <c r="J280" s="46">
        <f t="shared" ref="J280:K280" si="119">J281</f>
        <v>30</v>
      </c>
      <c r="K280" s="46">
        <f t="shared" si="119"/>
        <v>30</v>
      </c>
      <c r="L280" s="1"/>
    </row>
    <row r="281" spans="1:12" ht="50.25" customHeight="1" outlineLevel="6" x14ac:dyDescent="0.25">
      <c r="A281" s="18" t="s">
        <v>36</v>
      </c>
      <c r="B281" s="8"/>
      <c r="C281" s="8"/>
      <c r="D281" s="8"/>
      <c r="E281" s="19" t="s">
        <v>330</v>
      </c>
      <c r="F281" s="19" t="s">
        <v>497</v>
      </c>
      <c r="G281" s="19" t="s">
        <v>510</v>
      </c>
      <c r="H281" s="19" t="s">
        <v>502</v>
      </c>
      <c r="I281" s="46">
        <v>0</v>
      </c>
      <c r="J281" s="46">
        <v>30</v>
      </c>
      <c r="K281" s="46">
        <v>30</v>
      </c>
      <c r="L281" s="1"/>
    </row>
    <row r="282" spans="1:12" ht="33.75" customHeight="1" outlineLevel="4" x14ac:dyDescent="0.25">
      <c r="A282" s="18" t="s">
        <v>110</v>
      </c>
      <c r="B282" s="8"/>
      <c r="C282" s="8"/>
      <c r="D282" s="8"/>
      <c r="E282" s="19" t="s">
        <v>331</v>
      </c>
      <c r="F282" s="19" t="s">
        <v>492</v>
      </c>
      <c r="G282" s="19" t="s">
        <v>500</v>
      </c>
      <c r="H282" s="19" t="s">
        <v>500</v>
      </c>
      <c r="I282" s="46">
        <f>I283</f>
        <v>4800</v>
      </c>
      <c r="J282" s="46">
        <f t="shared" ref="J282:K282" si="120">J283</f>
        <v>0</v>
      </c>
      <c r="K282" s="46">
        <f t="shared" si="120"/>
        <v>0</v>
      </c>
      <c r="L282" s="1"/>
    </row>
    <row r="283" spans="1:12" ht="48" customHeight="1" outlineLevel="5" x14ac:dyDescent="0.25">
      <c r="A283" s="18" t="s">
        <v>36</v>
      </c>
      <c r="B283" s="8"/>
      <c r="C283" s="8"/>
      <c r="D283" s="8"/>
      <c r="E283" s="19" t="s">
        <v>331</v>
      </c>
      <c r="F283" s="19" t="s">
        <v>497</v>
      </c>
      <c r="G283" s="19" t="s">
        <v>510</v>
      </c>
      <c r="H283" s="19" t="s">
        <v>502</v>
      </c>
      <c r="I283" s="46">
        <f>4000+800</f>
        <v>4800</v>
      </c>
      <c r="J283" s="46">
        <f>1535.1-1535.1</f>
        <v>0</v>
      </c>
      <c r="K283" s="46">
        <f>1493.6-1493.6</f>
        <v>0</v>
      </c>
      <c r="L283" s="1"/>
    </row>
    <row r="284" spans="1:12" ht="31.5" outlineLevel="2" x14ac:dyDescent="0.25">
      <c r="A284" s="18" t="s">
        <v>101</v>
      </c>
      <c r="B284" s="8"/>
      <c r="C284" s="8"/>
      <c r="D284" s="8"/>
      <c r="E284" s="19" t="s">
        <v>332</v>
      </c>
      <c r="F284" s="19" t="s">
        <v>492</v>
      </c>
      <c r="G284" s="19" t="s">
        <v>500</v>
      </c>
      <c r="H284" s="19" t="s">
        <v>500</v>
      </c>
      <c r="I284" s="46">
        <f>I285</f>
        <v>0</v>
      </c>
      <c r="J284" s="46">
        <f t="shared" ref="J284:K284" si="121">J285</f>
        <v>600</v>
      </c>
      <c r="K284" s="46">
        <f t="shared" si="121"/>
        <v>600</v>
      </c>
      <c r="L284" s="1"/>
    </row>
    <row r="285" spans="1:12" ht="48.75" customHeight="1" outlineLevel="3" x14ac:dyDescent="0.25">
      <c r="A285" s="18" t="s">
        <v>36</v>
      </c>
      <c r="B285" s="8"/>
      <c r="C285" s="8"/>
      <c r="D285" s="8"/>
      <c r="E285" s="19" t="s">
        <v>332</v>
      </c>
      <c r="F285" s="19" t="s">
        <v>497</v>
      </c>
      <c r="G285" s="19" t="s">
        <v>510</v>
      </c>
      <c r="H285" s="19" t="s">
        <v>502</v>
      </c>
      <c r="I285" s="46">
        <v>0</v>
      </c>
      <c r="J285" s="46">
        <v>600</v>
      </c>
      <c r="K285" s="46">
        <v>600</v>
      </c>
      <c r="L285" s="1"/>
    </row>
    <row r="286" spans="1:12" ht="47.25" outlineLevel="6" x14ac:dyDescent="0.25">
      <c r="A286" s="18" t="s">
        <v>111</v>
      </c>
      <c r="B286" s="8"/>
      <c r="C286" s="8"/>
      <c r="D286" s="8"/>
      <c r="E286" s="19" t="s">
        <v>333</v>
      </c>
      <c r="F286" s="19" t="s">
        <v>492</v>
      </c>
      <c r="G286" s="19" t="s">
        <v>500</v>
      </c>
      <c r="H286" s="19" t="s">
        <v>500</v>
      </c>
      <c r="I286" s="46">
        <f>I287</f>
        <v>200</v>
      </c>
      <c r="J286" s="46">
        <f t="shared" ref="J286:K286" si="122">J287</f>
        <v>200</v>
      </c>
      <c r="K286" s="46">
        <f t="shared" si="122"/>
        <v>200</v>
      </c>
      <c r="L286" s="1"/>
    </row>
    <row r="287" spans="1:12" ht="31.5" outlineLevel="3" x14ac:dyDescent="0.25">
      <c r="A287" s="18" t="s">
        <v>45</v>
      </c>
      <c r="B287" s="8"/>
      <c r="C287" s="8"/>
      <c r="D287" s="8"/>
      <c r="E287" s="19" t="s">
        <v>333</v>
      </c>
      <c r="F287" s="19" t="s">
        <v>498</v>
      </c>
      <c r="G287" s="19" t="s">
        <v>510</v>
      </c>
      <c r="H287" s="19" t="s">
        <v>502</v>
      </c>
      <c r="I287" s="46">
        <v>200</v>
      </c>
      <c r="J287" s="46">
        <v>200</v>
      </c>
      <c r="K287" s="46">
        <v>200</v>
      </c>
      <c r="L287" s="1"/>
    </row>
    <row r="288" spans="1:12" ht="36" customHeight="1" outlineLevel="6" x14ac:dyDescent="0.25">
      <c r="A288" s="18" t="s">
        <v>112</v>
      </c>
      <c r="B288" s="8"/>
      <c r="C288" s="8"/>
      <c r="D288" s="8"/>
      <c r="E288" s="19" t="s">
        <v>334</v>
      </c>
      <c r="F288" s="19" t="s">
        <v>492</v>
      </c>
      <c r="G288" s="19" t="s">
        <v>500</v>
      </c>
      <c r="H288" s="19" t="s">
        <v>500</v>
      </c>
      <c r="I288" s="46">
        <f>I289</f>
        <v>100</v>
      </c>
      <c r="J288" s="46">
        <f t="shared" ref="J288:K288" si="123">J289</f>
        <v>100</v>
      </c>
      <c r="K288" s="46">
        <f t="shared" si="123"/>
        <v>100</v>
      </c>
      <c r="L288" s="1"/>
    </row>
    <row r="289" spans="1:12" ht="36" customHeight="1" outlineLevel="2" x14ac:dyDescent="0.25">
      <c r="A289" s="18" t="s">
        <v>45</v>
      </c>
      <c r="B289" s="8"/>
      <c r="C289" s="8"/>
      <c r="D289" s="8"/>
      <c r="E289" s="19" t="s">
        <v>334</v>
      </c>
      <c r="F289" s="19" t="s">
        <v>498</v>
      </c>
      <c r="G289" s="19" t="s">
        <v>510</v>
      </c>
      <c r="H289" s="19" t="s">
        <v>502</v>
      </c>
      <c r="I289" s="46">
        <v>100</v>
      </c>
      <c r="J289" s="46">
        <v>100</v>
      </c>
      <c r="K289" s="46">
        <v>100</v>
      </c>
      <c r="L289" s="1"/>
    </row>
    <row r="290" spans="1:12" ht="63" outlineLevel="5" x14ac:dyDescent="0.25">
      <c r="A290" s="18" t="s">
        <v>113</v>
      </c>
      <c r="B290" s="8"/>
      <c r="C290" s="8"/>
      <c r="D290" s="8"/>
      <c r="E290" s="19" t="s">
        <v>335</v>
      </c>
      <c r="F290" s="19" t="s">
        <v>492</v>
      </c>
      <c r="G290" s="19" t="s">
        <v>500</v>
      </c>
      <c r="H290" s="19" t="s">
        <v>500</v>
      </c>
      <c r="I290" s="46">
        <f>I291</f>
        <v>200</v>
      </c>
      <c r="J290" s="46">
        <f t="shared" ref="J290:K290" si="124">J291</f>
        <v>200</v>
      </c>
      <c r="K290" s="46">
        <f t="shared" si="124"/>
        <v>200</v>
      </c>
      <c r="L290" s="1"/>
    </row>
    <row r="291" spans="1:12" ht="31.5" outlineLevel="6" x14ac:dyDescent="0.25">
      <c r="A291" s="18" t="s">
        <v>45</v>
      </c>
      <c r="B291" s="8"/>
      <c r="C291" s="8"/>
      <c r="D291" s="8"/>
      <c r="E291" s="19" t="s">
        <v>335</v>
      </c>
      <c r="F291" s="19" t="s">
        <v>498</v>
      </c>
      <c r="G291" s="19" t="s">
        <v>510</v>
      </c>
      <c r="H291" s="19" t="s">
        <v>502</v>
      </c>
      <c r="I291" s="46">
        <v>200</v>
      </c>
      <c r="J291" s="46">
        <v>200</v>
      </c>
      <c r="K291" s="46">
        <v>200</v>
      </c>
      <c r="L291" s="1"/>
    </row>
    <row r="292" spans="1:12" ht="189" outlineLevel="5" x14ac:dyDescent="0.25">
      <c r="A292" s="18" t="s">
        <v>114</v>
      </c>
      <c r="B292" s="8"/>
      <c r="C292" s="8"/>
      <c r="D292" s="8"/>
      <c r="E292" s="19" t="s">
        <v>336</v>
      </c>
      <c r="F292" s="19" t="s">
        <v>492</v>
      </c>
      <c r="G292" s="19" t="s">
        <v>500</v>
      </c>
      <c r="H292" s="19" t="s">
        <v>500</v>
      </c>
      <c r="I292" s="46">
        <f>I293</f>
        <v>7933.9</v>
      </c>
      <c r="J292" s="46">
        <f t="shared" ref="J292:K292" si="125">J293</f>
        <v>7570</v>
      </c>
      <c r="K292" s="46">
        <f t="shared" si="125"/>
        <v>7570</v>
      </c>
      <c r="L292" s="1"/>
    </row>
    <row r="293" spans="1:12" ht="47.25" customHeight="1" outlineLevel="6" x14ac:dyDescent="0.25">
      <c r="A293" s="18" t="s">
        <v>36</v>
      </c>
      <c r="B293" s="8"/>
      <c r="C293" s="8"/>
      <c r="D293" s="8"/>
      <c r="E293" s="19" t="s">
        <v>336</v>
      </c>
      <c r="F293" s="19" t="s">
        <v>497</v>
      </c>
      <c r="G293" s="19" t="s">
        <v>510</v>
      </c>
      <c r="H293" s="19" t="s">
        <v>502</v>
      </c>
      <c r="I293" s="46">
        <f>7570+357+6.9</f>
        <v>7933.9</v>
      </c>
      <c r="J293" s="46">
        <v>7570</v>
      </c>
      <c r="K293" s="46">
        <v>7570</v>
      </c>
      <c r="L293" s="1"/>
    </row>
    <row r="294" spans="1:12" ht="141.75" customHeight="1" outlineLevel="5" x14ac:dyDescent="0.25">
      <c r="A294" s="18" t="s">
        <v>105</v>
      </c>
      <c r="B294" s="8"/>
      <c r="C294" s="8"/>
      <c r="D294" s="8"/>
      <c r="E294" s="19" t="s">
        <v>337</v>
      </c>
      <c r="F294" s="19" t="s">
        <v>492</v>
      </c>
      <c r="G294" s="19" t="s">
        <v>500</v>
      </c>
      <c r="H294" s="19" t="s">
        <v>500</v>
      </c>
      <c r="I294" s="46">
        <f>I295</f>
        <v>1140</v>
      </c>
      <c r="J294" s="46">
        <f t="shared" ref="J294:K294" si="126">J295</f>
        <v>1000</v>
      </c>
      <c r="K294" s="46">
        <f t="shared" si="126"/>
        <v>1000</v>
      </c>
      <c r="L294" s="1"/>
    </row>
    <row r="295" spans="1:12" ht="50.25" customHeight="1" outlineLevel="6" x14ac:dyDescent="0.25">
      <c r="A295" s="18" t="s">
        <v>36</v>
      </c>
      <c r="B295" s="8"/>
      <c r="C295" s="8"/>
      <c r="D295" s="8"/>
      <c r="E295" s="19" t="s">
        <v>337</v>
      </c>
      <c r="F295" s="19" t="s">
        <v>497</v>
      </c>
      <c r="G295" s="19" t="s">
        <v>510</v>
      </c>
      <c r="H295" s="19" t="s">
        <v>502</v>
      </c>
      <c r="I295" s="46">
        <f>1000+140</f>
        <v>1140</v>
      </c>
      <c r="J295" s="46">
        <v>1000</v>
      </c>
      <c r="K295" s="46">
        <v>1000</v>
      </c>
      <c r="L295" s="1"/>
    </row>
    <row r="296" spans="1:12" ht="81" customHeight="1" outlineLevel="6" x14ac:dyDescent="0.25">
      <c r="A296" s="40" t="s">
        <v>569</v>
      </c>
      <c r="B296" s="34"/>
      <c r="C296" s="8"/>
      <c r="D296" s="8"/>
      <c r="E296" s="33" t="s">
        <v>568</v>
      </c>
      <c r="F296" s="33" t="s">
        <v>492</v>
      </c>
      <c r="G296" s="33" t="s">
        <v>500</v>
      </c>
      <c r="H296" s="33" t="s">
        <v>500</v>
      </c>
      <c r="I296" s="46">
        <f>I297</f>
        <v>0</v>
      </c>
      <c r="J296" s="46">
        <f t="shared" ref="J296:K296" si="127">J297</f>
        <v>2134.8000000000002</v>
      </c>
      <c r="K296" s="46">
        <f t="shared" si="127"/>
        <v>0</v>
      </c>
      <c r="L296" s="1"/>
    </row>
    <row r="297" spans="1:12" ht="50.25" customHeight="1" outlineLevel="6" x14ac:dyDescent="0.25">
      <c r="A297" s="18" t="s">
        <v>36</v>
      </c>
      <c r="B297" s="8"/>
      <c r="C297" s="8"/>
      <c r="D297" s="8"/>
      <c r="E297" s="33" t="s">
        <v>568</v>
      </c>
      <c r="F297" s="33" t="s">
        <v>497</v>
      </c>
      <c r="G297" s="33" t="s">
        <v>510</v>
      </c>
      <c r="H297" s="33" t="s">
        <v>502</v>
      </c>
      <c r="I297" s="46">
        <v>0</v>
      </c>
      <c r="J297" s="46">
        <v>2134.8000000000002</v>
      </c>
      <c r="K297" s="46">
        <v>0</v>
      </c>
      <c r="L297" s="1"/>
    </row>
    <row r="298" spans="1:12" ht="50.25" customHeight="1" outlineLevel="6" x14ac:dyDescent="0.25">
      <c r="A298" s="40" t="s">
        <v>585</v>
      </c>
      <c r="B298" s="34"/>
      <c r="C298" s="8"/>
      <c r="D298" s="8"/>
      <c r="E298" s="33" t="s">
        <v>584</v>
      </c>
      <c r="F298" s="33" t="s">
        <v>492</v>
      </c>
      <c r="G298" s="33" t="s">
        <v>500</v>
      </c>
      <c r="H298" s="33" t="s">
        <v>500</v>
      </c>
      <c r="I298" s="46">
        <f>I299</f>
        <v>100</v>
      </c>
      <c r="J298" s="46">
        <f t="shared" ref="J298:K298" si="128">J299</f>
        <v>0</v>
      </c>
      <c r="K298" s="46">
        <f t="shared" si="128"/>
        <v>0</v>
      </c>
      <c r="L298" s="1"/>
    </row>
    <row r="299" spans="1:12" ht="50.25" customHeight="1" outlineLevel="6" x14ac:dyDescent="0.25">
      <c r="A299" s="18" t="s">
        <v>36</v>
      </c>
      <c r="B299" s="8"/>
      <c r="C299" s="8"/>
      <c r="D299" s="8"/>
      <c r="E299" s="33" t="s">
        <v>584</v>
      </c>
      <c r="F299" s="33" t="s">
        <v>497</v>
      </c>
      <c r="G299" s="33" t="s">
        <v>505</v>
      </c>
      <c r="H299" s="33" t="s">
        <v>514</v>
      </c>
      <c r="I299" s="46">
        <v>100</v>
      </c>
      <c r="J299" s="46">
        <v>0</v>
      </c>
      <c r="K299" s="46">
        <v>0</v>
      </c>
      <c r="L299" s="1"/>
    </row>
    <row r="300" spans="1:12" ht="159.75" customHeight="1" outlineLevel="6" x14ac:dyDescent="0.25">
      <c r="A300" s="18" t="s">
        <v>106</v>
      </c>
      <c r="B300" s="8"/>
      <c r="C300" s="8"/>
      <c r="D300" s="8"/>
      <c r="E300" s="19" t="s">
        <v>338</v>
      </c>
      <c r="F300" s="19" t="s">
        <v>492</v>
      </c>
      <c r="G300" s="19" t="s">
        <v>500</v>
      </c>
      <c r="H300" s="19" t="s">
        <v>500</v>
      </c>
      <c r="I300" s="46">
        <f>I301</f>
        <v>549480</v>
      </c>
      <c r="J300" s="46">
        <f t="shared" ref="J300:K300" si="129">J301</f>
        <v>530882</v>
      </c>
      <c r="K300" s="46">
        <f t="shared" si="129"/>
        <v>530882</v>
      </c>
      <c r="L300" s="1"/>
    </row>
    <row r="301" spans="1:12" ht="51" customHeight="1" outlineLevel="3" x14ac:dyDescent="0.25">
      <c r="A301" s="18" t="s">
        <v>36</v>
      </c>
      <c r="B301" s="8"/>
      <c r="C301" s="8"/>
      <c r="D301" s="8"/>
      <c r="E301" s="19" t="s">
        <v>338</v>
      </c>
      <c r="F301" s="19" t="s">
        <v>497</v>
      </c>
      <c r="G301" s="19" t="s">
        <v>510</v>
      </c>
      <c r="H301" s="19" t="s">
        <v>502</v>
      </c>
      <c r="I301" s="46">
        <f>530882+15899.3+2698.7</f>
        <v>549480</v>
      </c>
      <c r="J301" s="46">
        <v>530882</v>
      </c>
      <c r="K301" s="46">
        <v>530882</v>
      </c>
      <c r="L301" s="1"/>
    </row>
    <row r="302" spans="1:12" ht="81.75" customHeight="1" outlineLevel="3" x14ac:dyDescent="0.25">
      <c r="A302" s="40" t="s">
        <v>531</v>
      </c>
      <c r="B302" s="34"/>
      <c r="C302" s="8"/>
      <c r="D302" s="8"/>
      <c r="E302" s="33" t="s">
        <v>530</v>
      </c>
      <c r="F302" s="33" t="s">
        <v>492</v>
      </c>
      <c r="G302" s="33" t="s">
        <v>500</v>
      </c>
      <c r="H302" s="33" t="s">
        <v>500</v>
      </c>
      <c r="I302" s="46">
        <f>I303</f>
        <v>784.10599999999999</v>
      </c>
      <c r="J302" s="46">
        <f t="shared" ref="J302:K302" si="130">J303</f>
        <v>0</v>
      </c>
      <c r="K302" s="46">
        <f t="shared" si="130"/>
        <v>0</v>
      </c>
      <c r="L302" s="1"/>
    </row>
    <row r="303" spans="1:12" ht="51" customHeight="1" outlineLevel="3" x14ac:dyDescent="0.25">
      <c r="A303" s="18" t="s">
        <v>36</v>
      </c>
      <c r="B303" s="8"/>
      <c r="C303" s="8"/>
      <c r="D303" s="8"/>
      <c r="E303" s="33" t="s">
        <v>530</v>
      </c>
      <c r="F303" s="33" t="s">
        <v>497</v>
      </c>
      <c r="G303" s="33" t="s">
        <v>510</v>
      </c>
      <c r="H303" s="33" t="s">
        <v>502</v>
      </c>
      <c r="I303" s="46">
        <v>784.10599999999999</v>
      </c>
      <c r="J303" s="46">
        <v>0</v>
      </c>
      <c r="K303" s="46">
        <v>0</v>
      </c>
      <c r="L303" s="1"/>
    </row>
    <row r="304" spans="1:12" ht="82.5" customHeight="1" outlineLevel="3" x14ac:dyDescent="0.25">
      <c r="A304" s="40" t="s">
        <v>569</v>
      </c>
      <c r="B304" s="8"/>
      <c r="C304" s="8"/>
      <c r="D304" s="8"/>
      <c r="E304" s="33" t="s">
        <v>595</v>
      </c>
      <c r="F304" s="33" t="s">
        <v>492</v>
      </c>
      <c r="G304" s="33" t="s">
        <v>500</v>
      </c>
      <c r="H304" s="33" t="s">
        <v>500</v>
      </c>
      <c r="I304" s="46">
        <f>I305</f>
        <v>0</v>
      </c>
      <c r="J304" s="46">
        <f t="shared" ref="J304:K304" si="131">J305</f>
        <v>319</v>
      </c>
      <c r="K304" s="46">
        <f t="shared" si="131"/>
        <v>0</v>
      </c>
      <c r="L304" s="1"/>
    </row>
    <row r="305" spans="1:12" ht="51" customHeight="1" outlineLevel="3" x14ac:dyDescent="0.25">
      <c r="A305" s="18" t="s">
        <v>36</v>
      </c>
      <c r="B305" s="8"/>
      <c r="C305" s="8"/>
      <c r="D305" s="8"/>
      <c r="E305" s="33" t="s">
        <v>595</v>
      </c>
      <c r="F305" s="33" t="s">
        <v>497</v>
      </c>
      <c r="G305" s="33" t="s">
        <v>510</v>
      </c>
      <c r="H305" s="33" t="s">
        <v>502</v>
      </c>
      <c r="I305" s="46">
        <v>0</v>
      </c>
      <c r="J305" s="46">
        <v>319</v>
      </c>
      <c r="K305" s="46">
        <v>0</v>
      </c>
      <c r="L305" s="1"/>
    </row>
    <row r="306" spans="1:12" ht="51" customHeight="1" outlineLevel="3" x14ac:dyDescent="0.25">
      <c r="A306" s="40" t="s">
        <v>585</v>
      </c>
      <c r="B306" s="8"/>
      <c r="C306" s="8"/>
      <c r="D306" s="8"/>
      <c r="E306" s="33" t="s">
        <v>593</v>
      </c>
      <c r="F306" s="33" t="s">
        <v>492</v>
      </c>
      <c r="G306" s="33" t="s">
        <v>500</v>
      </c>
      <c r="H306" s="33" t="s">
        <v>500</v>
      </c>
      <c r="I306" s="46">
        <f>I307</f>
        <v>14.9</v>
      </c>
      <c r="J306" s="46">
        <f t="shared" ref="J306:K306" si="132">J307</f>
        <v>0</v>
      </c>
      <c r="K306" s="46">
        <f t="shared" si="132"/>
        <v>0</v>
      </c>
      <c r="L306" s="1"/>
    </row>
    <row r="307" spans="1:12" ht="51" customHeight="1" outlineLevel="3" x14ac:dyDescent="0.25">
      <c r="A307" s="18" t="s">
        <v>36</v>
      </c>
      <c r="B307" s="8"/>
      <c r="C307" s="8"/>
      <c r="D307" s="8"/>
      <c r="E307" s="33" t="s">
        <v>593</v>
      </c>
      <c r="F307" s="33" t="s">
        <v>497</v>
      </c>
      <c r="G307" s="33" t="s">
        <v>505</v>
      </c>
      <c r="H307" s="33" t="s">
        <v>514</v>
      </c>
      <c r="I307" s="46">
        <v>14.9</v>
      </c>
      <c r="J307" s="46">
        <v>0</v>
      </c>
      <c r="K307" s="46">
        <v>0</v>
      </c>
      <c r="L307" s="1"/>
    </row>
    <row r="308" spans="1:12" ht="49.5" customHeight="1" outlineLevel="6" x14ac:dyDescent="0.25">
      <c r="A308" s="18" t="s">
        <v>115</v>
      </c>
      <c r="B308" s="8"/>
      <c r="C308" s="8"/>
      <c r="D308" s="8"/>
      <c r="E308" s="19" t="s">
        <v>339</v>
      </c>
      <c r="F308" s="19" t="s">
        <v>492</v>
      </c>
      <c r="G308" s="19" t="s">
        <v>500</v>
      </c>
      <c r="H308" s="19" t="s">
        <v>500</v>
      </c>
      <c r="I308" s="46">
        <f>I309</f>
        <v>85407.179000000004</v>
      </c>
      <c r="J308" s="46">
        <f t="shared" ref="J308:K308" si="133">J309</f>
        <v>83167.199999999997</v>
      </c>
      <c r="K308" s="46">
        <f t="shared" si="133"/>
        <v>82932.899999999994</v>
      </c>
      <c r="L308" s="1"/>
    </row>
    <row r="309" spans="1:12" ht="49.5" customHeight="1" outlineLevel="3" x14ac:dyDescent="0.25">
      <c r="A309" s="18" t="s">
        <v>36</v>
      </c>
      <c r="B309" s="8"/>
      <c r="C309" s="8"/>
      <c r="D309" s="8"/>
      <c r="E309" s="19" t="s">
        <v>339</v>
      </c>
      <c r="F309" s="19" t="s">
        <v>497</v>
      </c>
      <c r="G309" s="19" t="s">
        <v>510</v>
      </c>
      <c r="H309" s="19" t="s">
        <v>502</v>
      </c>
      <c r="I309" s="46">
        <f>86383.8-800-176.621</f>
        <v>85407.179000000004</v>
      </c>
      <c r="J309" s="46">
        <v>83167.199999999997</v>
      </c>
      <c r="K309" s="46">
        <v>82932.899999999994</v>
      </c>
      <c r="L309" s="4"/>
    </row>
    <row r="310" spans="1:12" ht="49.5" customHeight="1" outlineLevel="6" x14ac:dyDescent="0.25">
      <c r="A310" s="18" t="s">
        <v>116</v>
      </c>
      <c r="B310" s="8"/>
      <c r="C310" s="8"/>
      <c r="D310" s="8"/>
      <c r="E310" s="19" t="s">
        <v>340</v>
      </c>
      <c r="F310" s="19" t="s">
        <v>492</v>
      </c>
      <c r="G310" s="19" t="s">
        <v>500</v>
      </c>
      <c r="H310" s="19" t="s">
        <v>500</v>
      </c>
      <c r="I310" s="46">
        <f>I311+I313+I317+I315+I319</f>
        <v>41161.751649999998</v>
      </c>
      <c r="J310" s="46">
        <f>J311+J313+J317+J315+J319</f>
        <v>40839.500000000007</v>
      </c>
      <c r="K310" s="46">
        <f>K311+K313+K317+K315+K319</f>
        <v>40908.1</v>
      </c>
      <c r="L310" s="1"/>
    </row>
    <row r="311" spans="1:12" ht="63.75" customHeight="1" outlineLevel="6" x14ac:dyDescent="0.25">
      <c r="A311" s="18" t="s">
        <v>117</v>
      </c>
      <c r="B311" s="8"/>
      <c r="C311" s="8"/>
      <c r="D311" s="8"/>
      <c r="E311" s="19" t="s">
        <v>341</v>
      </c>
      <c r="F311" s="19" t="s">
        <v>492</v>
      </c>
      <c r="G311" s="19" t="s">
        <v>500</v>
      </c>
      <c r="H311" s="19" t="s">
        <v>500</v>
      </c>
      <c r="I311" s="46">
        <f>I312</f>
        <v>2226.8818400000005</v>
      </c>
      <c r="J311" s="46">
        <f t="shared" ref="J311:K311" si="134">J312</f>
        <v>0</v>
      </c>
      <c r="K311" s="46">
        <f t="shared" si="134"/>
        <v>0</v>
      </c>
      <c r="L311" s="1"/>
    </row>
    <row r="312" spans="1:12" ht="46.5" customHeight="1" outlineLevel="6" x14ac:dyDescent="0.25">
      <c r="A312" s="18" t="s">
        <v>36</v>
      </c>
      <c r="B312" s="8"/>
      <c r="C312" s="8"/>
      <c r="D312" s="8"/>
      <c r="E312" s="19" t="s">
        <v>341</v>
      </c>
      <c r="F312" s="19" t="s">
        <v>497</v>
      </c>
      <c r="G312" s="19" t="s">
        <v>510</v>
      </c>
      <c r="H312" s="19" t="s">
        <v>505</v>
      </c>
      <c r="I312" s="46">
        <f>5283.6-1000-2056.71816</f>
        <v>2226.8818400000005</v>
      </c>
      <c r="J312" s="46">
        <f>5283.6-5283.6</f>
        <v>0</v>
      </c>
      <c r="K312" s="46">
        <f>5283.6-21.4-5262.2</f>
        <v>0</v>
      </c>
      <c r="L312" s="1"/>
    </row>
    <row r="313" spans="1:12" ht="47.25" outlineLevel="5" x14ac:dyDescent="0.25">
      <c r="A313" s="18" t="s">
        <v>118</v>
      </c>
      <c r="B313" s="8"/>
      <c r="C313" s="8"/>
      <c r="D313" s="8"/>
      <c r="E313" s="19" t="s">
        <v>342</v>
      </c>
      <c r="F313" s="19" t="s">
        <v>492</v>
      </c>
      <c r="G313" s="19" t="s">
        <v>500</v>
      </c>
      <c r="H313" s="19" t="s">
        <v>500</v>
      </c>
      <c r="I313" s="46">
        <f>I314</f>
        <v>90</v>
      </c>
      <c r="J313" s="46">
        <f t="shared" ref="J313:K313" si="135">J314</f>
        <v>0</v>
      </c>
      <c r="K313" s="46">
        <f t="shared" si="135"/>
        <v>90</v>
      </c>
      <c r="L313" s="1"/>
    </row>
    <row r="314" spans="1:12" ht="31.5" outlineLevel="6" x14ac:dyDescent="0.25">
      <c r="A314" s="18" t="s">
        <v>45</v>
      </c>
      <c r="B314" s="8"/>
      <c r="C314" s="8"/>
      <c r="D314" s="8"/>
      <c r="E314" s="19" t="s">
        <v>342</v>
      </c>
      <c r="F314" s="19" t="s">
        <v>498</v>
      </c>
      <c r="G314" s="19" t="s">
        <v>510</v>
      </c>
      <c r="H314" s="19" t="s">
        <v>505</v>
      </c>
      <c r="I314" s="46">
        <v>90</v>
      </c>
      <c r="J314" s="46">
        <v>0</v>
      </c>
      <c r="K314" s="46">
        <v>90</v>
      </c>
      <c r="L314" s="1"/>
    </row>
    <row r="315" spans="1:12" ht="110.25" outlineLevel="6" x14ac:dyDescent="0.25">
      <c r="A315" s="18" t="s">
        <v>678</v>
      </c>
      <c r="B315" s="8"/>
      <c r="C315" s="8"/>
      <c r="D315" s="8"/>
      <c r="E315" s="33" t="s">
        <v>676</v>
      </c>
      <c r="F315" s="19" t="s">
        <v>492</v>
      </c>
      <c r="G315" s="19" t="s">
        <v>500</v>
      </c>
      <c r="H315" s="19" t="s">
        <v>500</v>
      </c>
      <c r="I315" s="46">
        <f>I316</f>
        <v>523.70000000000005</v>
      </c>
      <c r="J315" s="46">
        <f t="shared" ref="J315:K315" si="136">J316</f>
        <v>1347.3</v>
      </c>
      <c r="K315" s="46">
        <f t="shared" si="136"/>
        <v>1341.9</v>
      </c>
      <c r="L315" s="1"/>
    </row>
    <row r="316" spans="1:12" ht="15.75" outlineLevel="6" x14ac:dyDescent="0.25">
      <c r="A316" s="18" t="s">
        <v>677</v>
      </c>
      <c r="B316" s="8"/>
      <c r="C316" s="8"/>
      <c r="D316" s="8"/>
      <c r="E316" s="33" t="s">
        <v>676</v>
      </c>
      <c r="F316" s="33" t="s">
        <v>496</v>
      </c>
      <c r="G316" s="33" t="s">
        <v>510</v>
      </c>
      <c r="H316" s="33" t="s">
        <v>505</v>
      </c>
      <c r="I316" s="46">
        <v>523.70000000000005</v>
      </c>
      <c r="J316" s="46">
        <v>1347.3</v>
      </c>
      <c r="K316" s="46">
        <v>1341.9</v>
      </c>
      <c r="L316" s="1"/>
    </row>
    <row r="317" spans="1:12" ht="64.5" customHeight="1" outlineLevel="5" x14ac:dyDescent="0.25">
      <c r="A317" s="18" t="s">
        <v>119</v>
      </c>
      <c r="B317" s="8"/>
      <c r="C317" s="8"/>
      <c r="D317" s="8"/>
      <c r="E317" s="19" t="s">
        <v>343</v>
      </c>
      <c r="F317" s="19" t="s">
        <v>492</v>
      </c>
      <c r="G317" s="19" t="s">
        <v>500</v>
      </c>
      <c r="H317" s="19" t="s">
        <v>500</v>
      </c>
      <c r="I317" s="46">
        <f>I318</f>
        <v>38115.751649999998</v>
      </c>
      <c r="J317" s="46">
        <f t="shared" ref="J317:K317" si="137">J318</f>
        <v>38963.800000000003</v>
      </c>
      <c r="K317" s="46">
        <f t="shared" si="137"/>
        <v>38950</v>
      </c>
      <c r="L317" s="1"/>
    </row>
    <row r="318" spans="1:12" ht="52.5" customHeight="1" outlineLevel="6" x14ac:dyDescent="0.25">
      <c r="A318" s="18" t="s">
        <v>36</v>
      </c>
      <c r="B318" s="8"/>
      <c r="C318" s="8"/>
      <c r="D318" s="8"/>
      <c r="E318" s="19" t="s">
        <v>343</v>
      </c>
      <c r="F318" s="19" t="s">
        <v>497</v>
      </c>
      <c r="G318" s="19" t="s">
        <v>510</v>
      </c>
      <c r="H318" s="19" t="s">
        <v>505</v>
      </c>
      <c r="I318" s="46">
        <f>35555.9-28.7+389.40085+62+1327.6+809.5508</f>
        <v>38115.751649999998</v>
      </c>
      <c r="J318" s="46">
        <f>35555.9+3407.9</f>
        <v>38963.800000000003</v>
      </c>
      <c r="K318" s="46">
        <f>35555.9+3394.1</f>
        <v>38950</v>
      </c>
      <c r="L318" s="1"/>
    </row>
    <row r="319" spans="1:12" ht="50.25" customHeight="1" outlineLevel="6" x14ac:dyDescent="0.25">
      <c r="A319" s="18" t="s">
        <v>115</v>
      </c>
      <c r="B319" s="8"/>
      <c r="C319" s="8"/>
      <c r="D319" s="8"/>
      <c r="E319" s="33" t="s">
        <v>679</v>
      </c>
      <c r="F319" s="19" t="s">
        <v>492</v>
      </c>
      <c r="G319" s="19" t="s">
        <v>500</v>
      </c>
      <c r="H319" s="19" t="s">
        <v>500</v>
      </c>
      <c r="I319" s="46">
        <f>I320</f>
        <v>205.41816</v>
      </c>
      <c r="J319" s="46">
        <f t="shared" ref="J319:K319" si="138">J320</f>
        <v>528.4</v>
      </c>
      <c r="K319" s="46">
        <f t="shared" si="138"/>
        <v>526.20000000000005</v>
      </c>
      <c r="L319" s="1"/>
    </row>
    <row r="320" spans="1:12" ht="52.5" customHeight="1" outlineLevel="6" x14ac:dyDescent="0.25">
      <c r="A320" s="18" t="s">
        <v>36</v>
      </c>
      <c r="B320" s="8"/>
      <c r="C320" s="8"/>
      <c r="D320" s="8"/>
      <c r="E320" s="33" t="s">
        <v>679</v>
      </c>
      <c r="F320" s="19" t="s">
        <v>497</v>
      </c>
      <c r="G320" s="19" t="s">
        <v>510</v>
      </c>
      <c r="H320" s="19" t="s">
        <v>505</v>
      </c>
      <c r="I320" s="46">
        <v>205.41816</v>
      </c>
      <c r="J320" s="46">
        <v>528.4</v>
      </c>
      <c r="K320" s="46">
        <v>526.20000000000005</v>
      </c>
      <c r="L320" s="1"/>
    </row>
    <row r="321" spans="1:12" ht="52.5" customHeight="1" outlineLevel="6" x14ac:dyDescent="0.25">
      <c r="A321" s="42" t="s">
        <v>572</v>
      </c>
      <c r="B321" s="34"/>
      <c r="C321" s="8"/>
      <c r="D321" s="8"/>
      <c r="E321" s="33" t="s">
        <v>570</v>
      </c>
      <c r="F321" s="33" t="s">
        <v>492</v>
      </c>
      <c r="G321" s="33" t="s">
        <v>500</v>
      </c>
      <c r="H321" s="33" t="s">
        <v>500</v>
      </c>
      <c r="I321" s="46">
        <f>I322+I324</f>
        <v>4580.7</v>
      </c>
      <c r="J321" s="46">
        <f t="shared" ref="J321:K322" si="139">J322</f>
        <v>0</v>
      </c>
      <c r="K321" s="46">
        <f t="shared" si="139"/>
        <v>0</v>
      </c>
      <c r="L321" s="1"/>
    </row>
    <row r="322" spans="1:12" ht="81" customHeight="1" outlineLevel="6" x14ac:dyDescent="0.25">
      <c r="A322" s="40" t="s">
        <v>569</v>
      </c>
      <c r="B322" s="34"/>
      <c r="C322" s="8"/>
      <c r="D322" s="8"/>
      <c r="E322" s="33" t="s">
        <v>571</v>
      </c>
      <c r="F322" s="33" t="s">
        <v>492</v>
      </c>
      <c r="G322" s="33" t="s">
        <v>500</v>
      </c>
      <c r="H322" s="33" t="s">
        <v>500</v>
      </c>
      <c r="I322" s="46">
        <f>I323</f>
        <v>3985.2</v>
      </c>
      <c r="J322" s="46">
        <f t="shared" si="139"/>
        <v>0</v>
      </c>
      <c r="K322" s="46">
        <f t="shared" si="139"/>
        <v>0</v>
      </c>
      <c r="L322" s="1"/>
    </row>
    <row r="323" spans="1:12" ht="52.5" customHeight="1" outlineLevel="6" x14ac:dyDescent="0.25">
      <c r="A323" s="18" t="s">
        <v>36</v>
      </c>
      <c r="B323" s="8"/>
      <c r="C323" s="8"/>
      <c r="D323" s="8"/>
      <c r="E323" s="33" t="s">
        <v>571</v>
      </c>
      <c r="F323" s="33" t="s">
        <v>497</v>
      </c>
      <c r="G323" s="33" t="s">
        <v>510</v>
      </c>
      <c r="H323" s="33" t="s">
        <v>509</v>
      </c>
      <c r="I323" s="46">
        <v>3985.2</v>
      </c>
      <c r="J323" s="46">
        <v>0</v>
      </c>
      <c r="K323" s="46">
        <v>0</v>
      </c>
      <c r="L323" s="1"/>
    </row>
    <row r="324" spans="1:12" ht="81" customHeight="1" outlineLevel="6" x14ac:dyDescent="0.25">
      <c r="A324" s="40" t="s">
        <v>569</v>
      </c>
      <c r="B324" s="8"/>
      <c r="C324" s="8"/>
      <c r="D324" s="8"/>
      <c r="E324" s="33" t="s">
        <v>596</v>
      </c>
      <c r="F324" s="33" t="s">
        <v>492</v>
      </c>
      <c r="G324" s="33" t="s">
        <v>500</v>
      </c>
      <c r="H324" s="33" t="s">
        <v>500</v>
      </c>
      <c r="I324" s="46">
        <f>I325</f>
        <v>595.5</v>
      </c>
      <c r="J324" s="46">
        <f t="shared" ref="J324:K324" si="140">J325</f>
        <v>0</v>
      </c>
      <c r="K324" s="46">
        <f t="shared" si="140"/>
        <v>0</v>
      </c>
      <c r="L324" s="1"/>
    </row>
    <row r="325" spans="1:12" ht="52.5" customHeight="1" outlineLevel="6" x14ac:dyDescent="0.25">
      <c r="A325" s="18" t="s">
        <v>36</v>
      </c>
      <c r="B325" s="8"/>
      <c r="C325" s="8"/>
      <c r="D325" s="8"/>
      <c r="E325" s="33" t="s">
        <v>596</v>
      </c>
      <c r="F325" s="33" t="s">
        <v>497</v>
      </c>
      <c r="G325" s="33" t="s">
        <v>510</v>
      </c>
      <c r="H325" s="33" t="s">
        <v>509</v>
      </c>
      <c r="I325" s="46">
        <v>595.5</v>
      </c>
      <c r="J325" s="46">
        <v>0</v>
      </c>
      <c r="K325" s="46">
        <v>0</v>
      </c>
      <c r="L325" s="1"/>
    </row>
    <row r="326" spans="1:12" ht="63" outlineLevel="5" x14ac:dyDescent="0.25">
      <c r="A326" s="18" t="s">
        <v>120</v>
      </c>
      <c r="B326" s="8"/>
      <c r="C326" s="8"/>
      <c r="D326" s="8"/>
      <c r="E326" s="19" t="s">
        <v>344</v>
      </c>
      <c r="F326" s="19" t="s">
        <v>492</v>
      </c>
      <c r="G326" s="19" t="s">
        <v>500</v>
      </c>
      <c r="H326" s="19" t="s">
        <v>500</v>
      </c>
      <c r="I326" s="46">
        <f>I327+I330+I333</f>
        <v>55420</v>
      </c>
      <c r="J326" s="46">
        <f t="shared" ref="J326:K326" si="141">J327+J330+J333</f>
        <v>55420</v>
      </c>
      <c r="K326" s="46">
        <f t="shared" si="141"/>
        <v>55420</v>
      </c>
      <c r="L326" s="1"/>
    </row>
    <row r="327" spans="1:12" ht="94.5" outlineLevel="6" x14ac:dyDescent="0.25">
      <c r="A327" s="18" t="s">
        <v>121</v>
      </c>
      <c r="B327" s="8"/>
      <c r="C327" s="8"/>
      <c r="D327" s="8"/>
      <c r="E327" s="19" t="s">
        <v>345</v>
      </c>
      <c r="F327" s="19" t="s">
        <v>492</v>
      </c>
      <c r="G327" s="19" t="s">
        <v>500</v>
      </c>
      <c r="H327" s="19" t="s">
        <v>500</v>
      </c>
      <c r="I327" s="46">
        <f>I328+I329</f>
        <v>17121.759480000001</v>
      </c>
      <c r="J327" s="46">
        <f t="shared" ref="J327:K327" si="142">J328+J329</f>
        <v>16650</v>
      </c>
      <c r="K327" s="46">
        <f t="shared" si="142"/>
        <v>16650</v>
      </c>
      <c r="L327" s="1"/>
    </row>
    <row r="328" spans="1:12" ht="47.25" outlineLevel="3" x14ac:dyDescent="0.25">
      <c r="A328" s="18" t="s">
        <v>30</v>
      </c>
      <c r="B328" s="8"/>
      <c r="C328" s="8"/>
      <c r="D328" s="8"/>
      <c r="E328" s="19" t="s">
        <v>345</v>
      </c>
      <c r="F328" s="19" t="s">
        <v>495</v>
      </c>
      <c r="G328" s="19" t="s">
        <v>508</v>
      </c>
      <c r="H328" s="19" t="s">
        <v>506</v>
      </c>
      <c r="I328" s="46">
        <f>150+20</f>
        <v>170</v>
      </c>
      <c r="J328" s="46">
        <v>150</v>
      </c>
      <c r="K328" s="46">
        <v>150</v>
      </c>
      <c r="L328" s="1"/>
    </row>
    <row r="329" spans="1:12" ht="31.5" outlineLevel="6" x14ac:dyDescent="0.25">
      <c r="A329" s="18" t="s">
        <v>45</v>
      </c>
      <c r="B329" s="8"/>
      <c r="C329" s="8"/>
      <c r="D329" s="8"/>
      <c r="E329" s="19" t="s">
        <v>345</v>
      </c>
      <c r="F329" s="19" t="s">
        <v>498</v>
      </c>
      <c r="G329" s="19" t="s">
        <v>508</v>
      </c>
      <c r="H329" s="19" t="s">
        <v>506</v>
      </c>
      <c r="I329" s="46">
        <f>16500-1081.88852+1533.648</f>
        <v>16951.759480000001</v>
      </c>
      <c r="J329" s="46">
        <v>16500</v>
      </c>
      <c r="K329" s="46">
        <v>16500</v>
      </c>
      <c r="L329" s="1"/>
    </row>
    <row r="330" spans="1:12" ht="94.5" outlineLevel="5" x14ac:dyDescent="0.25">
      <c r="A330" s="18" t="s">
        <v>122</v>
      </c>
      <c r="B330" s="8"/>
      <c r="C330" s="8"/>
      <c r="D330" s="8"/>
      <c r="E330" s="19" t="s">
        <v>346</v>
      </c>
      <c r="F330" s="19" t="s">
        <v>492</v>
      </c>
      <c r="G330" s="19" t="s">
        <v>500</v>
      </c>
      <c r="H330" s="19" t="s">
        <v>500</v>
      </c>
      <c r="I330" s="46">
        <f>I331+I332</f>
        <v>25471.240519999999</v>
      </c>
      <c r="J330" s="46">
        <f t="shared" ref="J330:K330" si="143">J331+J332</f>
        <v>22007</v>
      </c>
      <c r="K330" s="46">
        <f t="shared" si="143"/>
        <v>22007</v>
      </c>
      <c r="L330" s="1"/>
    </row>
    <row r="331" spans="1:12" ht="47.25" outlineLevel="6" x14ac:dyDescent="0.25">
      <c r="A331" s="18" t="s">
        <v>30</v>
      </c>
      <c r="B331" s="8"/>
      <c r="C331" s="8"/>
      <c r="D331" s="8"/>
      <c r="E331" s="19" t="s">
        <v>346</v>
      </c>
      <c r="F331" s="19" t="s">
        <v>495</v>
      </c>
      <c r="G331" s="19" t="s">
        <v>508</v>
      </c>
      <c r="H331" s="19" t="s">
        <v>506</v>
      </c>
      <c r="I331" s="46">
        <f>183+60</f>
        <v>243</v>
      </c>
      <c r="J331" s="46">
        <v>183</v>
      </c>
      <c r="K331" s="46">
        <v>183</v>
      </c>
      <c r="L331" s="1"/>
    </row>
    <row r="332" spans="1:12" ht="33.75" customHeight="1" outlineLevel="5" x14ac:dyDescent="0.25">
      <c r="A332" s="18" t="s">
        <v>45</v>
      </c>
      <c r="B332" s="8"/>
      <c r="C332" s="8"/>
      <c r="D332" s="8"/>
      <c r="E332" s="19" t="s">
        <v>346</v>
      </c>
      <c r="F332" s="19" t="s">
        <v>498</v>
      </c>
      <c r="G332" s="19" t="s">
        <v>508</v>
      </c>
      <c r="H332" s="19" t="s">
        <v>506</v>
      </c>
      <c r="I332" s="46">
        <f>21824+1081.88852+2322.352</f>
        <v>25228.240519999999</v>
      </c>
      <c r="J332" s="46">
        <v>21824</v>
      </c>
      <c r="K332" s="46">
        <v>21824</v>
      </c>
      <c r="L332" s="1"/>
    </row>
    <row r="333" spans="1:12" ht="81.75" customHeight="1" outlineLevel="6" x14ac:dyDescent="0.25">
      <c r="A333" s="18" t="s">
        <v>123</v>
      </c>
      <c r="B333" s="8"/>
      <c r="C333" s="8"/>
      <c r="D333" s="8"/>
      <c r="E333" s="19" t="s">
        <v>347</v>
      </c>
      <c r="F333" s="19" t="s">
        <v>492</v>
      </c>
      <c r="G333" s="19" t="s">
        <v>500</v>
      </c>
      <c r="H333" s="19" t="s">
        <v>500</v>
      </c>
      <c r="I333" s="46">
        <f>I334+I335</f>
        <v>12827</v>
      </c>
      <c r="J333" s="46">
        <f t="shared" ref="J333:K333" si="144">J334+J335</f>
        <v>16763</v>
      </c>
      <c r="K333" s="46">
        <f t="shared" si="144"/>
        <v>16763</v>
      </c>
      <c r="L333" s="1"/>
    </row>
    <row r="334" spans="1:12" ht="49.5" customHeight="1" outlineLevel="1" x14ac:dyDescent="0.25">
      <c r="A334" s="18" t="s">
        <v>30</v>
      </c>
      <c r="B334" s="8"/>
      <c r="C334" s="8"/>
      <c r="D334" s="8"/>
      <c r="E334" s="19" t="s">
        <v>347</v>
      </c>
      <c r="F334" s="19" t="s">
        <v>495</v>
      </c>
      <c r="G334" s="19" t="s">
        <v>508</v>
      </c>
      <c r="H334" s="19" t="s">
        <v>506</v>
      </c>
      <c r="I334" s="46">
        <f>130-36</f>
        <v>94</v>
      </c>
      <c r="J334" s="46">
        <v>130</v>
      </c>
      <c r="K334" s="46">
        <v>130</v>
      </c>
      <c r="L334" s="1"/>
    </row>
    <row r="335" spans="1:12" ht="33.75" customHeight="1" outlineLevel="4" x14ac:dyDescent="0.25">
      <c r="A335" s="18" t="s">
        <v>45</v>
      </c>
      <c r="B335" s="8"/>
      <c r="C335" s="8"/>
      <c r="D335" s="8"/>
      <c r="E335" s="19" t="s">
        <v>347</v>
      </c>
      <c r="F335" s="19" t="s">
        <v>498</v>
      </c>
      <c r="G335" s="19" t="s">
        <v>508</v>
      </c>
      <c r="H335" s="19" t="s">
        <v>506</v>
      </c>
      <c r="I335" s="46">
        <f>16633-3900</f>
        <v>12733</v>
      </c>
      <c r="J335" s="46">
        <v>16633</v>
      </c>
      <c r="K335" s="46">
        <v>16633</v>
      </c>
      <c r="L335" s="1"/>
    </row>
    <row r="336" spans="1:12" ht="48.75" customHeight="1" outlineLevel="3" x14ac:dyDescent="0.25">
      <c r="A336" s="18" t="s">
        <v>124</v>
      </c>
      <c r="B336" s="8"/>
      <c r="C336" s="8"/>
      <c r="D336" s="8"/>
      <c r="E336" s="19" t="s">
        <v>348</v>
      </c>
      <c r="F336" s="19" t="s">
        <v>492</v>
      </c>
      <c r="G336" s="19" t="s">
        <v>500</v>
      </c>
      <c r="H336" s="19" t="s">
        <v>500</v>
      </c>
      <c r="I336" s="46">
        <f>I337</f>
        <v>5657.2</v>
      </c>
      <c r="J336" s="46">
        <f t="shared" ref="J336:K336" si="145">J337</f>
        <v>5458.2</v>
      </c>
      <c r="K336" s="46">
        <f t="shared" si="145"/>
        <v>5458.2</v>
      </c>
      <c r="L336" s="1"/>
    </row>
    <row r="337" spans="1:12" ht="84" customHeight="1" outlineLevel="4" x14ac:dyDescent="0.25">
      <c r="A337" s="18" t="s">
        <v>125</v>
      </c>
      <c r="B337" s="8"/>
      <c r="C337" s="8"/>
      <c r="D337" s="8"/>
      <c r="E337" s="19" t="s">
        <v>349</v>
      </c>
      <c r="F337" s="19" t="s">
        <v>492</v>
      </c>
      <c r="G337" s="19" t="s">
        <v>500</v>
      </c>
      <c r="H337" s="19" t="s">
        <v>500</v>
      </c>
      <c r="I337" s="46">
        <f>I338+I339</f>
        <v>5657.2</v>
      </c>
      <c r="J337" s="46">
        <f t="shared" ref="J337:K337" si="146">J338+J339</f>
        <v>5458.2</v>
      </c>
      <c r="K337" s="46">
        <f t="shared" si="146"/>
        <v>5458.2</v>
      </c>
      <c r="L337" s="1"/>
    </row>
    <row r="338" spans="1:12" ht="111.75" customHeight="1" outlineLevel="5" x14ac:dyDescent="0.25">
      <c r="A338" s="18" t="s">
        <v>27</v>
      </c>
      <c r="B338" s="8"/>
      <c r="C338" s="8"/>
      <c r="D338" s="8"/>
      <c r="E338" s="19" t="s">
        <v>349</v>
      </c>
      <c r="F338" s="19" t="s">
        <v>494</v>
      </c>
      <c r="G338" s="19" t="s">
        <v>508</v>
      </c>
      <c r="H338" s="19" t="s">
        <v>513</v>
      </c>
      <c r="I338" s="46">
        <f>4892.9+126.2+72.8</f>
        <v>5091.8999999999996</v>
      </c>
      <c r="J338" s="46">
        <v>4892.8999999999996</v>
      </c>
      <c r="K338" s="46">
        <v>4892.8999999999996</v>
      </c>
      <c r="L338" s="1"/>
    </row>
    <row r="339" spans="1:12" ht="47.25" outlineLevel="4" x14ac:dyDescent="0.25">
      <c r="A339" s="18" t="s">
        <v>30</v>
      </c>
      <c r="B339" s="8"/>
      <c r="C339" s="8"/>
      <c r="D339" s="8"/>
      <c r="E339" s="19" t="s">
        <v>349</v>
      </c>
      <c r="F339" s="19" t="s">
        <v>495</v>
      </c>
      <c r="G339" s="19" t="s">
        <v>508</v>
      </c>
      <c r="H339" s="19" t="s">
        <v>513</v>
      </c>
      <c r="I339" s="46">
        <v>565.29999999999995</v>
      </c>
      <c r="J339" s="46">
        <v>565.29999999999995</v>
      </c>
      <c r="K339" s="46">
        <v>565.29999999999995</v>
      </c>
      <c r="L339" s="1"/>
    </row>
    <row r="340" spans="1:12" ht="51.75" customHeight="1" outlineLevel="3" x14ac:dyDescent="0.25">
      <c r="A340" s="18" t="s">
        <v>25</v>
      </c>
      <c r="B340" s="8"/>
      <c r="C340" s="8"/>
      <c r="D340" s="8"/>
      <c r="E340" s="19" t="s">
        <v>350</v>
      </c>
      <c r="F340" s="19" t="s">
        <v>492</v>
      </c>
      <c r="G340" s="19" t="s">
        <v>500</v>
      </c>
      <c r="H340" s="19" t="s">
        <v>500</v>
      </c>
      <c r="I340" s="46">
        <f>I341+I345+I348+I352</f>
        <v>55565.672150000006</v>
      </c>
      <c r="J340" s="46">
        <f t="shared" ref="J340:K340" si="147">J341+J345+J348+J352</f>
        <v>50515.600000000006</v>
      </c>
      <c r="K340" s="46">
        <f t="shared" si="147"/>
        <v>50515.600000000006</v>
      </c>
      <c r="L340" s="1"/>
    </row>
    <row r="341" spans="1:12" ht="51.75" customHeight="1" outlineLevel="4" x14ac:dyDescent="0.25">
      <c r="A341" s="18" t="s">
        <v>26</v>
      </c>
      <c r="B341" s="8"/>
      <c r="C341" s="8"/>
      <c r="D341" s="8"/>
      <c r="E341" s="19" t="s">
        <v>351</v>
      </c>
      <c r="F341" s="19" t="s">
        <v>492</v>
      </c>
      <c r="G341" s="19" t="s">
        <v>500</v>
      </c>
      <c r="H341" s="19" t="s">
        <v>500</v>
      </c>
      <c r="I341" s="46">
        <f>I342+I343+I344</f>
        <v>15128.199999999999</v>
      </c>
      <c r="J341" s="46">
        <f t="shared" ref="J341:K341" si="148">J342+J343+J344</f>
        <v>12969.4</v>
      </c>
      <c r="K341" s="46">
        <f t="shared" si="148"/>
        <v>12969.4</v>
      </c>
      <c r="L341" s="4"/>
    </row>
    <row r="342" spans="1:12" ht="111.75" customHeight="1" outlineLevel="5" x14ac:dyDescent="0.25">
      <c r="A342" s="18" t="s">
        <v>27</v>
      </c>
      <c r="B342" s="8"/>
      <c r="C342" s="8"/>
      <c r="D342" s="8"/>
      <c r="E342" s="19" t="s">
        <v>351</v>
      </c>
      <c r="F342" s="19" t="s">
        <v>494</v>
      </c>
      <c r="G342" s="19" t="s">
        <v>510</v>
      </c>
      <c r="H342" s="19" t="s">
        <v>509</v>
      </c>
      <c r="I342" s="46">
        <f>12315.4+731.2711+1226.7289+200.8+55.38415</f>
        <v>14529.584149999999</v>
      </c>
      <c r="J342" s="46">
        <v>12315.4</v>
      </c>
      <c r="K342" s="46">
        <v>12315.4</v>
      </c>
      <c r="L342" s="1"/>
    </row>
    <row r="343" spans="1:12" ht="47.25" outlineLevel="5" x14ac:dyDescent="0.25">
      <c r="A343" s="18" t="s">
        <v>30</v>
      </c>
      <c r="B343" s="8"/>
      <c r="C343" s="8"/>
      <c r="D343" s="8"/>
      <c r="E343" s="19" t="s">
        <v>351</v>
      </c>
      <c r="F343" s="19" t="s">
        <v>495</v>
      </c>
      <c r="G343" s="19" t="s">
        <v>510</v>
      </c>
      <c r="H343" s="19" t="s">
        <v>509</v>
      </c>
      <c r="I343" s="46">
        <f>645.6-55.38415</f>
        <v>590.21585000000005</v>
      </c>
      <c r="J343" s="46">
        <v>645.6</v>
      </c>
      <c r="K343" s="46">
        <v>645.6</v>
      </c>
      <c r="L343" s="1"/>
    </row>
    <row r="344" spans="1:12" ht="15.75" outlineLevel="4" x14ac:dyDescent="0.25">
      <c r="A344" s="18" t="s">
        <v>33</v>
      </c>
      <c r="B344" s="8"/>
      <c r="C344" s="8"/>
      <c r="D344" s="8"/>
      <c r="E344" s="19" t="s">
        <v>351</v>
      </c>
      <c r="F344" s="19" t="s">
        <v>496</v>
      </c>
      <c r="G344" s="19" t="s">
        <v>510</v>
      </c>
      <c r="H344" s="19" t="s">
        <v>509</v>
      </c>
      <c r="I344" s="46">
        <v>8.4</v>
      </c>
      <c r="J344" s="46">
        <v>8.4</v>
      </c>
      <c r="K344" s="46">
        <v>8.4</v>
      </c>
      <c r="L344" s="4"/>
    </row>
    <row r="345" spans="1:12" ht="140.25" customHeight="1" outlineLevel="4" x14ac:dyDescent="0.25">
      <c r="A345" s="18" t="s">
        <v>105</v>
      </c>
      <c r="B345" s="8"/>
      <c r="C345" s="8"/>
      <c r="D345" s="8"/>
      <c r="E345" s="19" t="s">
        <v>352</v>
      </c>
      <c r="F345" s="19" t="s">
        <v>492</v>
      </c>
      <c r="G345" s="19" t="s">
        <v>500</v>
      </c>
      <c r="H345" s="19" t="s">
        <v>500</v>
      </c>
      <c r="I345" s="46">
        <f>I346+I347</f>
        <v>3704.3</v>
      </c>
      <c r="J345" s="46">
        <f t="shared" ref="J345:K345" si="149">J346+J347</f>
        <v>3844.3</v>
      </c>
      <c r="K345" s="46">
        <f t="shared" si="149"/>
        <v>3844.3</v>
      </c>
      <c r="L345" s="1"/>
    </row>
    <row r="346" spans="1:12" ht="48.75" customHeight="1" outlineLevel="5" x14ac:dyDescent="0.25">
      <c r="A346" s="18" t="s">
        <v>30</v>
      </c>
      <c r="B346" s="8"/>
      <c r="C346" s="8"/>
      <c r="D346" s="8"/>
      <c r="E346" s="19" t="s">
        <v>352</v>
      </c>
      <c r="F346" s="19" t="s">
        <v>495</v>
      </c>
      <c r="G346" s="19" t="s">
        <v>508</v>
      </c>
      <c r="H346" s="19" t="s">
        <v>505</v>
      </c>
      <c r="I346" s="46">
        <v>48</v>
      </c>
      <c r="J346" s="46">
        <v>48</v>
      </c>
      <c r="K346" s="46">
        <v>48</v>
      </c>
      <c r="L346" s="1"/>
    </row>
    <row r="347" spans="1:12" ht="33.75" customHeight="1" outlineLevel="4" x14ac:dyDescent="0.25">
      <c r="A347" s="18" t="s">
        <v>45</v>
      </c>
      <c r="B347" s="8"/>
      <c r="C347" s="8"/>
      <c r="D347" s="8"/>
      <c r="E347" s="19" t="s">
        <v>352</v>
      </c>
      <c r="F347" s="19" t="s">
        <v>498</v>
      </c>
      <c r="G347" s="19" t="s">
        <v>508</v>
      </c>
      <c r="H347" s="19" t="s">
        <v>505</v>
      </c>
      <c r="I347" s="46">
        <f>3796.3-140</f>
        <v>3656.3</v>
      </c>
      <c r="J347" s="46">
        <v>3796.3</v>
      </c>
      <c r="K347" s="46">
        <v>3796.3</v>
      </c>
      <c r="L347" s="1"/>
    </row>
    <row r="348" spans="1:12" ht="48.75" customHeight="1" outlineLevel="3" x14ac:dyDescent="0.25">
      <c r="A348" s="18" t="s">
        <v>31</v>
      </c>
      <c r="B348" s="8"/>
      <c r="C348" s="8"/>
      <c r="D348" s="8"/>
      <c r="E348" s="19" t="s">
        <v>353</v>
      </c>
      <c r="F348" s="19" t="s">
        <v>492</v>
      </c>
      <c r="G348" s="19" t="s">
        <v>500</v>
      </c>
      <c r="H348" s="19" t="s">
        <v>500</v>
      </c>
      <c r="I348" s="46">
        <f>I349+I350+I351</f>
        <v>30720.73415</v>
      </c>
      <c r="J348" s="46">
        <f t="shared" ref="J348:K348" si="150">J349+J350+J351</f>
        <v>27763.599999999999</v>
      </c>
      <c r="K348" s="46">
        <f t="shared" si="150"/>
        <v>27763.599999999999</v>
      </c>
      <c r="L348" s="1"/>
    </row>
    <row r="349" spans="1:12" ht="112.5" customHeight="1" outlineLevel="4" x14ac:dyDescent="0.25">
      <c r="A349" s="18" t="s">
        <v>27</v>
      </c>
      <c r="B349" s="8"/>
      <c r="C349" s="8"/>
      <c r="D349" s="8"/>
      <c r="E349" s="19" t="s">
        <v>353</v>
      </c>
      <c r="F349" s="19" t="s">
        <v>494</v>
      </c>
      <c r="G349" s="19" t="s">
        <v>510</v>
      </c>
      <c r="H349" s="19" t="s">
        <v>509</v>
      </c>
      <c r="I349" s="46">
        <f>25047.7+2885.80795-281+361.6262+4.2056</f>
        <v>28018.339749999999</v>
      </c>
      <c r="J349" s="46">
        <v>25047.7</v>
      </c>
      <c r="K349" s="46">
        <v>25047.7</v>
      </c>
      <c r="L349" s="1"/>
    </row>
    <row r="350" spans="1:12" ht="47.25" outlineLevel="3" x14ac:dyDescent="0.25">
      <c r="A350" s="18" t="s">
        <v>30</v>
      </c>
      <c r="B350" s="8"/>
      <c r="C350" s="8"/>
      <c r="D350" s="8"/>
      <c r="E350" s="19" t="s">
        <v>353</v>
      </c>
      <c r="F350" s="19" t="s">
        <v>495</v>
      </c>
      <c r="G350" s="19" t="s">
        <v>510</v>
      </c>
      <c r="H350" s="19" t="s">
        <v>509</v>
      </c>
      <c r="I350" s="46">
        <f>2699.5-0.7-4.2056</f>
        <v>2694.5944000000004</v>
      </c>
      <c r="J350" s="46">
        <v>2708.8</v>
      </c>
      <c r="K350" s="46">
        <v>2708.8</v>
      </c>
      <c r="L350" s="1"/>
    </row>
    <row r="351" spans="1:12" ht="15.75" outlineLevel="6" x14ac:dyDescent="0.25">
      <c r="A351" s="18" t="s">
        <v>33</v>
      </c>
      <c r="B351" s="8"/>
      <c r="C351" s="8"/>
      <c r="D351" s="8"/>
      <c r="E351" s="19" t="s">
        <v>353</v>
      </c>
      <c r="F351" s="19" t="s">
        <v>496</v>
      </c>
      <c r="G351" s="19" t="s">
        <v>510</v>
      </c>
      <c r="H351" s="19" t="s">
        <v>509</v>
      </c>
      <c r="I351" s="46">
        <f>7.1+0.7</f>
        <v>7.8</v>
      </c>
      <c r="J351" s="46">
        <v>7.1</v>
      </c>
      <c r="K351" s="46">
        <v>7.1</v>
      </c>
      <c r="L351" s="1"/>
    </row>
    <row r="352" spans="1:12" ht="63" outlineLevel="5" x14ac:dyDescent="0.25">
      <c r="A352" s="18" t="s">
        <v>126</v>
      </c>
      <c r="B352" s="8"/>
      <c r="C352" s="8"/>
      <c r="D352" s="8"/>
      <c r="E352" s="19" t="s">
        <v>354</v>
      </c>
      <c r="F352" s="19" t="s">
        <v>492</v>
      </c>
      <c r="G352" s="19" t="s">
        <v>500</v>
      </c>
      <c r="H352" s="19" t="s">
        <v>500</v>
      </c>
      <c r="I352" s="46">
        <f>I353+I354</f>
        <v>6012.438000000001</v>
      </c>
      <c r="J352" s="46">
        <f t="shared" ref="J352:K352" si="151">J353+J354</f>
        <v>5938.3</v>
      </c>
      <c r="K352" s="46">
        <f t="shared" si="151"/>
        <v>5938.3</v>
      </c>
      <c r="L352" s="1"/>
    </row>
    <row r="353" spans="1:12" ht="112.5" customHeight="1" outlineLevel="6" x14ac:dyDescent="0.25">
      <c r="A353" s="18" t="s">
        <v>27</v>
      </c>
      <c r="B353" s="8"/>
      <c r="C353" s="8"/>
      <c r="D353" s="8"/>
      <c r="E353" s="19" t="s">
        <v>354</v>
      </c>
      <c r="F353" s="19" t="s">
        <v>494</v>
      </c>
      <c r="G353" s="19" t="s">
        <v>510</v>
      </c>
      <c r="H353" s="19" t="s">
        <v>509</v>
      </c>
      <c r="I353" s="46">
        <f>5147.1+8.1+4+74.138+7.5656+10.8135</f>
        <v>5251.7171000000008</v>
      </c>
      <c r="J353" s="46">
        <v>5147.1000000000004</v>
      </c>
      <c r="K353" s="46">
        <v>5147.1000000000004</v>
      </c>
      <c r="L353" s="1"/>
    </row>
    <row r="354" spans="1:12" ht="47.25" outlineLevel="5" x14ac:dyDescent="0.25">
      <c r="A354" s="18" t="s">
        <v>30</v>
      </c>
      <c r="B354" s="8"/>
      <c r="C354" s="8"/>
      <c r="D354" s="8"/>
      <c r="E354" s="19" t="s">
        <v>354</v>
      </c>
      <c r="F354" s="19" t="s">
        <v>495</v>
      </c>
      <c r="G354" s="19" t="s">
        <v>510</v>
      </c>
      <c r="H354" s="19" t="s">
        <v>509</v>
      </c>
      <c r="I354" s="46">
        <f>791.2-8.1-4-7.5656-10.8135</f>
        <v>760.72090000000003</v>
      </c>
      <c r="J354" s="46">
        <v>791.2</v>
      </c>
      <c r="K354" s="46">
        <v>791.2</v>
      </c>
      <c r="L354" s="1"/>
    </row>
    <row r="355" spans="1:12" ht="63" outlineLevel="3" x14ac:dyDescent="0.25">
      <c r="A355" s="29" t="s">
        <v>127</v>
      </c>
      <c r="B355" s="30"/>
      <c r="C355" s="30"/>
      <c r="D355" s="30"/>
      <c r="E355" s="31" t="s">
        <v>355</v>
      </c>
      <c r="F355" s="31" t="s">
        <v>492</v>
      </c>
      <c r="G355" s="31" t="s">
        <v>500</v>
      </c>
      <c r="H355" s="31" t="s">
        <v>500</v>
      </c>
      <c r="I355" s="44">
        <f>I356+I364+I384</f>
        <v>164675.22950000002</v>
      </c>
      <c r="J355" s="44">
        <f t="shared" ref="J355:K355" si="152">J356+J364+J384</f>
        <v>142808.27100000001</v>
      </c>
      <c r="K355" s="44">
        <f t="shared" si="152"/>
        <v>192130.204</v>
      </c>
      <c r="L355" s="1"/>
    </row>
    <row r="356" spans="1:12" ht="77.25" customHeight="1" outlineLevel="4" x14ac:dyDescent="0.25">
      <c r="A356" s="32" t="s">
        <v>17</v>
      </c>
      <c r="B356" s="8"/>
      <c r="C356" s="8"/>
      <c r="D356" s="8"/>
      <c r="E356" s="8" t="s">
        <v>356</v>
      </c>
      <c r="F356" s="8" t="s">
        <v>492</v>
      </c>
      <c r="G356" s="8" t="s">
        <v>500</v>
      </c>
      <c r="H356" s="8" t="s">
        <v>500</v>
      </c>
      <c r="I356" s="45">
        <f>I357</f>
        <v>2411.3974999999996</v>
      </c>
      <c r="J356" s="45">
        <f t="shared" ref="J356:K356" si="153">J357</f>
        <v>0</v>
      </c>
      <c r="K356" s="45">
        <f t="shared" si="153"/>
        <v>66181</v>
      </c>
      <c r="L356" s="1"/>
    </row>
    <row r="357" spans="1:12" ht="54" customHeight="1" outlineLevel="5" x14ac:dyDescent="0.25">
      <c r="A357" s="18" t="s">
        <v>128</v>
      </c>
      <c r="B357" s="8"/>
      <c r="C357" s="8"/>
      <c r="D357" s="8"/>
      <c r="E357" s="19" t="s">
        <v>357</v>
      </c>
      <c r="F357" s="19" t="s">
        <v>492</v>
      </c>
      <c r="G357" s="19" t="s">
        <v>500</v>
      </c>
      <c r="H357" s="19" t="s">
        <v>500</v>
      </c>
      <c r="I357" s="46">
        <f>I358+I360+I362</f>
        <v>2411.3974999999996</v>
      </c>
      <c r="J357" s="46">
        <f t="shared" ref="J357:K357" si="154">J358+J360+J362</f>
        <v>0</v>
      </c>
      <c r="K357" s="46">
        <f t="shared" si="154"/>
        <v>66181</v>
      </c>
      <c r="L357" s="1"/>
    </row>
    <row r="358" spans="1:12" ht="94.5" outlineLevel="6" x14ac:dyDescent="0.25">
      <c r="A358" s="18" t="s">
        <v>129</v>
      </c>
      <c r="B358" s="8"/>
      <c r="C358" s="8"/>
      <c r="D358" s="8"/>
      <c r="E358" s="19" t="s">
        <v>358</v>
      </c>
      <c r="F358" s="19" t="s">
        <v>492</v>
      </c>
      <c r="G358" s="19" t="s">
        <v>500</v>
      </c>
      <c r="H358" s="19" t="s">
        <v>500</v>
      </c>
      <c r="I358" s="46">
        <f>I359</f>
        <v>2363.1271699999998</v>
      </c>
      <c r="J358" s="46">
        <f t="shared" ref="J358:K358" si="155">J359</f>
        <v>0</v>
      </c>
      <c r="K358" s="46">
        <f t="shared" si="155"/>
        <v>64858.3</v>
      </c>
      <c r="L358" s="1"/>
    </row>
    <row r="359" spans="1:12" ht="47.25" outlineLevel="3" x14ac:dyDescent="0.25">
      <c r="A359" s="18" t="s">
        <v>20</v>
      </c>
      <c r="B359" s="8"/>
      <c r="C359" s="8"/>
      <c r="D359" s="8"/>
      <c r="E359" s="19" t="s">
        <v>358</v>
      </c>
      <c r="F359" s="19" t="s">
        <v>493</v>
      </c>
      <c r="G359" s="19" t="s">
        <v>501</v>
      </c>
      <c r="H359" s="19" t="s">
        <v>503</v>
      </c>
      <c r="I359" s="46">
        <f>14841.05532-12477.92815</f>
        <v>2363.1271699999998</v>
      </c>
      <c r="J359" s="46">
        <v>0</v>
      </c>
      <c r="K359" s="46">
        <v>64858.3</v>
      </c>
      <c r="L359" s="1"/>
    </row>
    <row r="360" spans="1:12" ht="47.25" outlineLevel="6" x14ac:dyDescent="0.25">
      <c r="A360" s="18" t="s">
        <v>131</v>
      </c>
      <c r="B360" s="8"/>
      <c r="C360" s="8"/>
      <c r="D360" s="8"/>
      <c r="E360" s="19" t="s">
        <v>359</v>
      </c>
      <c r="F360" s="19" t="s">
        <v>492</v>
      </c>
      <c r="G360" s="19" t="s">
        <v>500</v>
      </c>
      <c r="H360" s="19" t="s">
        <v>500</v>
      </c>
      <c r="I360" s="46">
        <f>I361</f>
        <v>36.170330000000007</v>
      </c>
      <c r="J360" s="46">
        <f t="shared" ref="J360:K360" si="156">J361</f>
        <v>0</v>
      </c>
      <c r="K360" s="46">
        <f t="shared" si="156"/>
        <v>993.4</v>
      </c>
      <c r="L360" s="1"/>
    </row>
    <row r="361" spans="1:12" ht="47.25" outlineLevel="3" x14ac:dyDescent="0.25">
      <c r="A361" s="18" t="s">
        <v>20</v>
      </c>
      <c r="B361" s="8"/>
      <c r="C361" s="8"/>
      <c r="D361" s="8"/>
      <c r="E361" s="19" t="s">
        <v>359</v>
      </c>
      <c r="F361" s="19" t="s">
        <v>493</v>
      </c>
      <c r="G361" s="19" t="s">
        <v>501</v>
      </c>
      <c r="H361" s="19" t="s">
        <v>503</v>
      </c>
      <c r="I361" s="46">
        <f>227.24329-191.07296</f>
        <v>36.170330000000007</v>
      </c>
      <c r="J361" s="46">
        <v>0</v>
      </c>
      <c r="K361" s="46">
        <v>993.4</v>
      </c>
      <c r="L361" s="1"/>
    </row>
    <row r="362" spans="1:12" ht="47.25" outlineLevel="6" x14ac:dyDescent="0.25">
      <c r="A362" s="18" t="s">
        <v>131</v>
      </c>
      <c r="B362" s="8"/>
      <c r="C362" s="8"/>
      <c r="D362" s="8"/>
      <c r="E362" s="19" t="s">
        <v>360</v>
      </c>
      <c r="F362" s="19" t="s">
        <v>492</v>
      </c>
      <c r="G362" s="19" t="s">
        <v>500</v>
      </c>
      <c r="H362" s="19" t="s">
        <v>500</v>
      </c>
      <c r="I362" s="46">
        <f>I363</f>
        <v>12.1</v>
      </c>
      <c r="J362" s="46">
        <f t="shared" ref="J362:K362" si="157">J363</f>
        <v>0</v>
      </c>
      <c r="K362" s="46">
        <f t="shared" si="157"/>
        <v>329.3</v>
      </c>
      <c r="L362" s="1"/>
    </row>
    <row r="363" spans="1:12" ht="47.25" outlineLevel="3" x14ac:dyDescent="0.25">
      <c r="A363" s="18" t="s">
        <v>20</v>
      </c>
      <c r="B363" s="8"/>
      <c r="C363" s="8"/>
      <c r="D363" s="8"/>
      <c r="E363" s="19" t="s">
        <v>360</v>
      </c>
      <c r="F363" s="19" t="s">
        <v>493</v>
      </c>
      <c r="G363" s="19" t="s">
        <v>501</v>
      </c>
      <c r="H363" s="19" t="s">
        <v>503</v>
      </c>
      <c r="I363" s="46">
        <v>12.1</v>
      </c>
      <c r="J363" s="46">
        <v>0</v>
      </c>
      <c r="K363" s="46">
        <v>329.3</v>
      </c>
      <c r="L363" s="1"/>
    </row>
    <row r="364" spans="1:12" ht="33.75" customHeight="1" outlineLevel="6" x14ac:dyDescent="0.25">
      <c r="A364" s="32" t="s">
        <v>21</v>
      </c>
      <c r="B364" s="8"/>
      <c r="C364" s="8"/>
      <c r="D364" s="8"/>
      <c r="E364" s="8" t="s">
        <v>361</v>
      </c>
      <c r="F364" s="8" t="s">
        <v>492</v>
      </c>
      <c r="G364" s="8" t="s">
        <v>500</v>
      </c>
      <c r="H364" s="8" t="s">
        <v>500</v>
      </c>
      <c r="I364" s="45">
        <f>I370+I373+I376+I379+I365</f>
        <v>71115.725999999995</v>
      </c>
      <c r="J364" s="45">
        <f>J370+J373+J376+J379+J365</f>
        <v>59478.370999999999</v>
      </c>
      <c r="K364" s="45">
        <f>K370+K373+K376+K379+K365</f>
        <v>52029.804000000004</v>
      </c>
      <c r="L364" s="1"/>
    </row>
    <row r="365" spans="1:12" ht="159.75" customHeight="1" outlineLevel="6" x14ac:dyDescent="0.25">
      <c r="A365" s="18" t="s">
        <v>561</v>
      </c>
      <c r="B365" s="8"/>
      <c r="C365" s="8"/>
      <c r="D365" s="8"/>
      <c r="E365" s="33" t="s">
        <v>558</v>
      </c>
      <c r="F365" s="33" t="s">
        <v>492</v>
      </c>
      <c r="G365" s="33" t="s">
        <v>500</v>
      </c>
      <c r="H365" s="33" t="s">
        <v>500</v>
      </c>
      <c r="I365" s="46">
        <f>I366+I368</f>
        <v>50000</v>
      </c>
      <c r="J365" s="46">
        <f>J366+J368</f>
        <v>40985.75</v>
      </c>
      <c r="K365" s="46">
        <f>K366+K368</f>
        <v>26912.7</v>
      </c>
      <c r="L365" s="1"/>
    </row>
    <row r="366" spans="1:12" ht="68.25" customHeight="1" outlineLevel="6" x14ac:dyDescent="0.25">
      <c r="A366" s="40" t="s">
        <v>560</v>
      </c>
      <c r="B366" s="34"/>
      <c r="C366" s="8"/>
      <c r="D366" s="8"/>
      <c r="E366" s="33" t="s">
        <v>559</v>
      </c>
      <c r="F366" s="33" t="s">
        <v>492</v>
      </c>
      <c r="G366" s="33" t="s">
        <v>500</v>
      </c>
      <c r="H366" s="33" t="s">
        <v>500</v>
      </c>
      <c r="I366" s="46">
        <f>I367</f>
        <v>43500</v>
      </c>
      <c r="J366" s="46">
        <f t="shared" ref="J366:K366" si="158">J367</f>
        <v>35657.599999999999</v>
      </c>
      <c r="K366" s="46">
        <f t="shared" si="158"/>
        <v>23414</v>
      </c>
      <c r="L366" s="1"/>
    </row>
    <row r="367" spans="1:12" ht="52.5" customHeight="1" outlineLevel="6" x14ac:dyDescent="0.25">
      <c r="A367" s="18" t="s">
        <v>20</v>
      </c>
      <c r="B367" s="8"/>
      <c r="C367" s="8"/>
      <c r="D367" s="8"/>
      <c r="E367" s="33" t="s">
        <v>559</v>
      </c>
      <c r="F367" s="33" t="s">
        <v>493</v>
      </c>
      <c r="G367" s="33" t="s">
        <v>501</v>
      </c>
      <c r="H367" s="33" t="s">
        <v>503</v>
      </c>
      <c r="I367" s="46">
        <f>28134+15366</f>
        <v>43500</v>
      </c>
      <c r="J367" s="46">
        <f>17410+18247.6</f>
        <v>35657.599999999999</v>
      </c>
      <c r="K367" s="46">
        <v>23414</v>
      </c>
      <c r="L367" s="1"/>
    </row>
    <row r="368" spans="1:12" ht="65.25" customHeight="1" outlineLevel="6" x14ac:dyDescent="0.25">
      <c r="A368" s="40" t="s">
        <v>560</v>
      </c>
      <c r="B368" s="34"/>
      <c r="C368" s="8"/>
      <c r="D368" s="8"/>
      <c r="E368" s="33" t="s">
        <v>597</v>
      </c>
      <c r="F368" s="33" t="s">
        <v>492</v>
      </c>
      <c r="G368" s="33" t="s">
        <v>500</v>
      </c>
      <c r="H368" s="33" t="s">
        <v>500</v>
      </c>
      <c r="I368" s="46">
        <f>I369</f>
        <v>6500</v>
      </c>
      <c r="J368" s="46">
        <f t="shared" ref="J368:K368" si="159">J369</f>
        <v>5328.15</v>
      </c>
      <c r="K368" s="46">
        <f t="shared" si="159"/>
        <v>3498.7</v>
      </c>
      <c r="L368" s="1"/>
    </row>
    <row r="369" spans="1:12" ht="52.5" customHeight="1" outlineLevel="6" x14ac:dyDescent="0.25">
      <c r="A369" s="18" t="s">
        <v>20</v>
      </c>
      <c r="B369" s="8"/>
      <c r="C369" s="8"/>
      <c r="D369" s="8"/>
      <c r="E369" s="33" t="s">
        <v>597</v>
      </c>
      <c r="F369" s="33" t="s">
        <v>493</v>
      </c>
      <c r="G369" s="33" t="s">
        <v>501</v>
      </c>
      <c r="H369" s="33" t="s">
        <v>503</v>
      </c>
      <c r="I369" s="46">
        <f>4204+2296</f>
        <v>6500</v>
      </c>
      <c r="J369" s="46">
        <f>2601.5+2726.65</f>
        <v>5328.15</v>
      </c>
      <c r="K369" s="46">
        <v>3498.7</v>
      </c>
      <c r="L369" s="1"/>
    </row>
    <row r="370" spans="1:12" ht="47.25" customHeight="1" outlineLevel="3" x14ac:dyDescent="0.25">
      <c r="A370" s="18" t="s">
        <v>132</v>
      </c>
      <c r="B370" s="8"/>
      <c r="C370" s="8"/>
      <c r="D370" s="8"/>
      <c r="E370" s="19" t="s">
        <v>362</v>
      </c>
      <c r="F370" s="19" t="s">
        <v>492</v>
      </c>
      <c r="G370" s="19" t="s">
        <v>500</v>
      </c>
      <c r="H370" s="19" t="s">
        <v>500</v>
      </c>
      <c r="I370" s="46">
        <f>I371</f>
        <v>12516.1</v>
      </c>
      <c r="J370" s="46">
        <f t="shared" ref="J370:K371" si="160">J371</f>
        <v>13263.2</v>
      </c>
      <c r="K370" s="46">
        <f t="shared" si="160"/>
        <v>14279.4</v>
      </c>
      <c r="L370" s="1"/>
    </row>
    <row r="371" spans="1:12" ht="31.5" outlineLevel="4" x14ac:dyDescent="0.25">
      <c r="A371" s="18" t="s">
        <v>133</v>
      </c>
      <c r="B371" s="8"/>
      <c r="C371" s="8"/>
      <c r="D371" s="8"/>
      <c r="E371" s="19" t="s">
        <v>363</v>
      </c>
      <c r="F371" s="19" t="s">
        <v>492</v>
      </c>
      <c r="G371" s="19" t="s">
        <v>500</v>
      </c>
      <c r="H371" s="19" t="s">
        <v>500</v>
      </c>
      <c r="I371" s="46">
        <f>I372</f>
        <v>12516.1</v>
      </c>
      <c r="J371" s="46">
        <f t="shared" si="160"/>
        <v>13263.2</v>
      </c>
      <c r="K371" s="46">
        <f t="shared" si="160"/>
        <v>14279.4</v>
      </c>
      <c r="L371" s="1"/>
    </row>
    <row r="372" spans="1:12" ht="31.5" outlineLevel="5" x14ac:dyDescent="0.25">
      <c r="A372" s="18" t="s">
        <v>45</v>
      </c>
      <c r="B372" s="8"/>
      <c r="C372" s="8"/>
      <c r="D372" s="8"/>
      <c r="E372" s="19" t="s">
        <v>363</v>
      </c>
      <c r="F372" s="19" t="s">
        <v>498</v>
      </c>
      <c r="G372" s="19" t="s">
        <v>508</v>
      </c>
      <c r="H372" s="19" t="s">
        <v>506</v>
      </c>
      <c r="I372" s="46">
        <f>12614.2-75.1-23</f>
        <v>12516.1</v>
      </c>
      <c r="J372" s="46">
        <v>13263.2</v>
      </c>
      <c r="K372" s="46">
        <v>14279.4</v>
      </c>
      <c r="L372" s="1"/>
    </row>
    <row r="373" spans="1:12" ht="50.25" customHeight="1" outlineLevel="4" x14ac:dyDescent="0.25">
      <c r="A373" s="18" t="s">
        <v>134</v>
      </c>
      <c r="B373" s="8"/>
      <c r="C373" s="8"/>
      <c r="D373" s="8"/>
      <c r="E373" s="19" t="s">
        <v>364</v>
      </c>
      <c r="F373" s="19" t="s">
        <v>492</v>
      </c>
      <c r="G373" s="19" t="s">
        <v>500</v>
      </c>
      <c r="H373" s="19" t="s">
        <v>500</v>
      </c>
      <c r="I373" s="46">
        <f>I374</f>
        <v>0</v>
      </c>
      <c r="J373" s="46">
        <f t="shared" ref="J373:K374" si="161">J374</f>
        <v>1339.3</v>
      </c>
      <c r="K373" s="46">
        <f t="shared" si="161"/>
        <v>1336.4</v>
      </c>
      <c r="L373" s="1"/>
    </row>
    <row r="374" spans="1:12" ht="110.25" outlineLevel="5" x14ac:dyDescent="0.25">
      <c r="A374" s="18" t="s">
        <v>135</v>
      </c>
      <c r="B374" s="8"/>
      <c r="C374" s="8"/>
      <c r="D374" s="8"/>
      <c r="E374" s="19" t="s">
        <v>365</v>
      </c>
      <c r="F374" s="19" t="s">
        <v>492</v>
      </c>
      <c r="G374" s="19" t="s">
        <v>500</v>
      </c>
      <c r="H374" s="19" t="s">
        <v>500</v>
      </c>
      <c r="I374" s="46">
        <f>I375</f>
        <v>0</v>
      </c>
      <c r="J374" s="46">
        <f t="shared" si="161"/>
        <v>1339.3</v>
      </c>
      <c r="K374" s="46">
        <f t="shared" si="161"/>
        <v>1336.4</v>
      </c>
      <c r="L374" s="1"/>
    </row>
    <row r="375" spans="1:12" ht="31.5" outlineLevel="6" x14ac:dyDescent="0.25">
      <c r="A375" s="18" t="s">
        <v>45</v>
      </c>
      <c r="B375" s="8"/>
      <c r="C375" s="8"/>
      <c r="D375" s="8"/>
      <c r="E375" s="19" t="s">
        <v>365</v>
      </c>
      <c r="F375" s="19" t="s">
        <v>498</v>
      </c>
      <c r="G375" s="19" t="s">
        <v>508</v>
      </c>
      <c r="H375" s="19" t="s">
        <v>505</v>
      </c>
      <c r="I375" s="46">
        <f>1394.6-1394.6</f>
        <v>0</v>
      </c>
      <c r="J375" s="46">
        <v>1339.3</v>
      </c>
      <c r="K375" s="46">
        <v>1336.4</v>
      </c>
      <c r="L375" s="1"/>
    </row>
    <row r="376" spans="1:12" ht="160.5" customHeight="1" outlineLevel="6" x14ac:dyDescent="0.25">
      <c r="A376" s="42" t="s">
        <v>537</v>
      </c>
      <c r="B376" s="34"/>
      <c r="C376" s="8"/>
      <c r="D376" s="8"/>
      <c r="E376" s="33" t="s">
        <v>534</v>
      </c>
      <c r="F376" s="19" t="s">
        <v>492</v>
      </c>
      <c r="G376" s="19" t="s">
        <v>500</v>
      </c>
      <c r="H376" s="19" t="s">
        <v>500</v>
      </c>
      <c r="I376" s="46">
        <f>I377</f>
        <v>1719.925</v>
      </c>
      <c r="J376" s="46">
        <f t="shared" ref="J376:K377" si="162">J377</f>
        <v>1836.7349999999999</v>
      </c>
      <c r="K376" s="46">
        <f t="shared" si="162"/>
        <v>2543.181</v>
      </c>
      <c r="L376" s="1"/>
    </row>
    <row r="377" spans="1:12" ht="144" customHeight="1" outlineLevel="6" x14ac:dyDescent="0.25">
      <c r="A377" s="40" t="s">
        <v>536</v>
      </c>
      <c r="B377" s="34"/>
      <c r="C377" s="8"/>
      <c r="D377" s="8"/>
      <c r="E377" s="33" t="s">
        <v>535</v>
      </c>
      <c r="F377" s="19" t="s">
        <v>492</v>
      </c>
      <c r="G377" s="19" t="s">
        <v>500</v>
      </c>
      <c r="H377" s="19" t="s">
        <v>500</v>
      </c>
      <c r="I377" s="46">
        <f>I378</f>
        <v>1719.925</v>
      </c>
      <c r="J377" s="46">
        <f t="shared" si="162"/>
        <v>1836.7349999999999</v>
      </c>
      <c r="K377" s="46">
        <f t="shared" si="162"/>
        <v>2543.181</v>
      </c>
      <c r="L377" s="1"/>
    </row>
    <row r="378" spans="1:12" ht="31.5" outlineLevel="6" x14ac:dyDescent="0.25">
      <c r="A378" s="18" t="s">
        <v>45</v>
      </c>
      <c r="B378" s="8"/>
      <c r="C378" s="8"/>
      <c r="D378" s="8"/>
      <c r="E378" s="33" t="s">
        <v>535</v>
      </c>
      <c r="F378" s="19" t="s">
        <v>498</v>
      </c>
      <c r="G378" s="19" t="s">
        <v>508</v>
      </c>
      <c r="H378" s="19" t="s">
        <v>505</v>
      </c>
      <c r="I378" s="46">
        <v>1719.925</v>
      </c>
      <c r="J378" s="46">
        <v>1836.7349999999999</v>
      </c>
      <c r="K378" s="46">
        <v>2543.181</v>
      </c>
      <c r="L378" s="1"/>
    </row>
    <row r="379" spans="1:12" ht="47.25" outlineLevel="6" x14ac:dyDescent="0.25">
      <c r="A379" s="42" t="s">
        <v>541</v>
      </c>
      <c r="B379" s="34"/>
      <c r="C379" s="8"/>
      <c r="D379" s="8"/>
      <c r="E379" s="33" t="s">
        <v>538</v>
      </c>
      <c r="F379" s="19" t="s">
        <v>492</v>
      </c>
      <c r="G379" s="19" t="s">
        <v>500</v>
      </c>
      <c r="H379" s="19" t="s">
        <v>500</v>
      </c>
      <c r="I379" s="46">
        <f>I380+I382</f>
        <v>6879.701</v>
      </c>
      <c r="J379" s="46">
        <f>J380+J382</f>
        <v>2053.386</v>
      </c>
      <c r="K379" s="46">
        <f>K380+K382</f>
        <v>6958.1229999999996</v>
      </c>
      <c r="L379" s="1"/>
    </row>
    <row r="380" spans="1:12" ht="31.5" outlineLevel="6" x14ac:dyDescent="0.25">
      <c r="A380" s="40" t="s">
        <v>540</v>
      </c>
      <c r="B380" s="34"/>
      <c r="C380" s="8"/>
      <c r="D380" s="8"/>
      <c r="E380" s="33" t="s">
        <v>539</v>
      </c>
      <c r="F380" s="19" t="s">
        <v>492</v>
      </c>
      <c r="G380" s="19" t="s">
        <v>500</v>
      </c>
      <c r="H380" s="19" t="s">
        <v>500</v>
      </c>
      <c r="I380" s="46">
        <f>I381</f>
        <v>5985.3389999999999</v>
      </c>
      <c r="J380" s="46">
        <f t="shared" ref="J380:K380" si="163">J381</f>
        <v>1786.4449999999999</v>
      </c>
      <c r="K380" s="46">
        <f t="shared" si="163"/>
        <v>6053.567</v>
      </c>
      <c r="L380" s="1"/>
    </row>
    <row r="381" spans="1:12" ht="31.5" outlineLevel="6" x14ac:dyDescent="0.25">
      <c r="A381" s="18" t="s">
        <v>45</v>
      </c>
      <c r="B381" s="8"/>
      <c r="C381" s="8"/>
      <c r="D381" s="8"/>
      <c r="E381" s="33" t="s">
        <v>539</v>
      </c>
      <c r="F381" s="19" t="s">
        <v>498</v>
      </c>
      <c r="G381" s="19" t="s">
        <v>508</v>
      </c>
      <c r="H381" s="19" t="s">
        <v>505</v>
      </c>
      <c r="I381" s="46">
        <v>5985.3389999999999</v>
      </c>
      <c r="J381" s="46">
        <v>1786.4449999999999</v>
      </c>
      <c r="K381" s="46">
        <v>6053.567</v>
      </c>
      <c r="L381" s="1"/>
    </row>
    <row r="382" spans="1:12" ht="31.5" outlineLevel="6" x14ac:dyDescent="0.25">
      <c r="A382" s="40" t="s">
        <v>540</v>
      </c>
      <c r="B382" s="8"/>
      <c r="C382" s="8"/>
      <c r="D382" s="8"/>
      <c r="E382" s="33" t="s">
        <v>546</v>
      </c>
      <c r="F382" s="19" t="s">
        <v>492</v>
      </c>
      <c r="G382" s="19" t="s">
        <v>500</v>
      </c>
      <c r="H382" s="19" t="s">
        <v>500</v>
      </c>
      <c r="I382" s="46">
        <f>I383</f>
        <v>894.36199999999997</v>
      </c>
      <c r="J382" s="46">
        <f t="shared" ref="J382:K382" si="164">J383</f>
        <v>266.94099999999997</v>
      </c>
      <c r="K382" s="46">
        <f t="shared" si="164"/>
        <v>904.55600000000004</v>
      </c>
      <c r="L382" s="1"/>
    </row>
    <row r="383" spans="1:12" ht="31.5" outlineLevel="6" x14ac:dyDescent="0.25">
      <c r="A383" s="18" t="s">
        <v>45</v>
      </c>
      <c r="B383" s="8"/>
      <c r="C383" s="8"/>
      <c r="D383" s="8"/>
      <c r="E383" s="33" t="s">
        <v>546</v>
      </c>
      <c r="F383" s="19" t="s">
        <v>498</v>
      </c>
      <c r="G383" s="19" t="s">
        <v>508</v>
      </c>
      <c r="H383" s="19" t="s">
        <v>505</v>
      </c>
      <c r="I383" s="46">
        <v>894.36199999999997</v>
      </c>
      <c r="J383" s="46">
        <v>266.94099999999997</v>
      </c>
      <c r="K383" s="46">
        <v>904.55600000000004</v>
      </c>
      <c r="L383" s="1"/>
    </row>
    <row r="384" spans="1:12" ht="23.25" customHeight="1" outlineLevel="5" x14ac:dyDescent="0.25">
      <c r="A384" s="32" t="s">
        <v>24</v>
      </c>
      <c r="B384" s="8"/>
      <c r="C384" s="8"/>
      <c r="D384" s="8"/>
      <c r="E384" s="8" t="s">
        <v>366</v>
      </c>
      <c r="F384" s="8" t="s">
        <v>492</v>
      </c>
      <c r="G384" s="8" t="s">
        <v>500</v>
      </c>
      <c r="H384" s="8" t="s">
        <v>500</v>
      </c>
      <c r="I384" s="45">
        <f>I385+I388+I399+I407+I414+I419</f>
        <v>91148.106000000014</v>
      </c>
      <c r="J384" s="45">
        <f>J385+J388+J399+J407+J414+J419</f>
        <v>83329.899999999994</v>
      </c>
      <c r="K384" s="45">
        <f>K385+K388+K399+K407+K414+K419</f>
        <v>73919.399999999994</v>
      </c>
      <c r="L384" s="1"/>
    </row>
    <row r="385" spans="1:12" ht="114" customHeight="1" outlineLevel="6" x14ac:dyDescent="0.25">
      <c r="A385" s="18" t="s">
        <v>136</v>
      </c>
      <c r="B385" s="8"/>
      <c r="C385" s="8"/>
      <c r="D385" s="8"/>
      <c r="E385" s="19" t="s">
        <v>367</v>
      </c>
      <c r="F385" s="19" t="s">
        <v>492</v>
      </c>
      <c r="G385" s="19" t="s">
        <v>500</v>
      </c>
      <c r="H385" s="19" t="s">
        <v>500</v>
      </c>
      <c r="I385" s="46">
        <f>I386</f>
        <v>3489.5389999999998</v>
      </c>
      <c r="J385" s="46">
        <f t="shared" ref="J385:K385" si="165">J386</f>
        <v>1700.3</v>
      </c>
      <c r="K385" s="46">
        <f t="shared" si="165"/>
        <v>990.3</v>
      </c>
      <c r="L385" s="1"/>
    </row>
    <row r="386" spans="1:12" ht="80.25" customHeight="1" outlineLevel="3" x14ac:dyDescent="0.25">
      <c r="A386" s="18" t="s">
        <v>137</v>
      </c>
      <c r="B386" s="8"/>
      <c r="C386" s="8"/>
      <c r="D386" s="8"/>
      <c r="E386" s="19" t="s">
        <v>368</v>
      </c>
      <c r="F386" s="19" t="s">
        <v>492</v>
      </c>
      <c r="G386" s="19" t="s">
        <v>500</v>
      </c>
      <c r="H386" s="19" t="s">
        <v>500</v>
      </c>
      <c r="I386" s="46">
        <f>I387</f>
        <v>3489.5389999999998</v>
      </c>
      <c r="J386" s="46">
        <f t="shared" ref="J386:K386" si="166">J387</f>
        <v>1700.3</v>
      </c>
      <c r="K386" s="46">
        <f t="shared" si="166"/>
        <v>990.3</v>
      </c>
      <c r="L386" s="1"/>
    </row>
    <row r="387" spans="1:12" ht="48" customHeight="1" outlineLevel="4" x14ac:dyDescent="0.25">
      <c r="A387" s="18" t="s">
        <v>30</v>
      </c>
      <c r="B387" s="8"/>
      <c r="C387" s="8"/>
      <c r="D387" s="8"/>
      <c r="E387" s="19" t="s">
        <v>368</v>
      </c>
      <c r="F387" s="19" t="s">
        <v>495</v>
      </c>
      <c r="G387" s="19" t="s">
        <v>501</v>
      </c>
      <c r="H387" s="19" t="s">
        <v>503</v>
      </c>
      <c r="I387" s="46">
        <f>1118.139+587-112.1+1896.5</f>
        <v>3489.5389999999998</v>
      </c>
      <c r="J387" s="46">
        <v>1700.3</v>
      </c>
      <c r="K387" s="46">
        <v>990.3</v>
      </c>
      <c r="L387" s="1"/>
    </row>
    <row r="388" spans="1:12" ht="51.75" customHeight="1" outlineLevel="3" x14ac:dyDescent="0.25">
      <c r="A388" s="18" t="s">
        <v>25</v>
      </c>
      <c r="B388" s="8"/>
      <c r="C388" s="8"/>
      <c r="D388" s="8"/>
      <c r="E388" s="19" t="s">
        <v>369</v>
      </c>
      <c r="F388" s="19" t="s">
        <v>492</v>
      </c>
      <c r="G388" s="19" t="s">
        <v>500</v>
      </c>
      <c r="H388" s="19" t="s">
        <v>500</v>
      </c>
      <c r="I388" s="46">
        <f>I389+I392+I394+I396</f>
        <v>21236.655000000002</v>
      </c>
      <c r="J388" s="46">
        <f t="shared" ref="J388:K388" si="167">J389+J392+J394+J396</f>
        <v>18384.599999999999</v>
      </c>
      <c r="K388" s="46">
        <f t="shared" si="167"/>
        <v>18384.599999999999</v>
      </c>
      <c r="L388" s="1"/>
    </row>
    <row r="389" spans="1:12" ht="51.75" customHeight="1" outlineLevel="4" x14ac:dyDescent="0.25">
      <c r="A389" s="18" t="s">
        <v>26</v>
      </c>
      <c r="B389" s="8"/>
      <c r="C389" s="8"/>
      <c r="D389" s="8"/>
      <c r="E389" s="19" t="s">
        <v>370</v>
      </c>
      <c r="F389" s="19" t="s">
        <v>492</v>
      </c>
      <c r="G389" s="19" t="s">
        <v>500</v>
      </c>
      <c r="H389" s="19" t="s">
        <v>500</v>
      </c>
      <c r="I389" s="46">
        <f>I390+I391</f>
        <v>11094.573000000002</v>
      </c>
      <c r="J389" s="46">
        <f t="shared" ref="J389:K389" si="168">J390+J391</f>
        <v>8972.6</v>
      </c>
      <c r="K389" s="46">
        <f t="shared" si="168"/>
        <v>8972.6</v>
      </c>
      <c r="L389" s="1"/>
    </row>
    <row r="390" spans="1:12" ht="114.75" customHeight="1" outlineLevel="5" x14ac:dyDescent="0.25">
      <c r="A390" s="18" t="s">
        <v>27</v>
      </c>
      <c r="B390" s="8"/>
      <c r="C390" s="8"/>
      <c r="D390" s="8"/>
      <c r="E390" s="19" t="s">
        <v>370</v>
      </c>
      <c r="F390" s="19" t="s">
        <v>494</v>
      </c>
      <c r="G390" s="19" t="s">
        <v>501</v>
      </c>
      <c r="H390" s="19" t="s">
        <v>501</v>
      </c>
      <c r="I390" s="46">
        <f>8579.5+509.645+854.155+758.173</f>
        <v>10701.473000000002</v>
      </c>
      <c r="J390" s="46">
        <v>8579.5</v>
      </c>
      <c r="K390" s="46">
        <v>8579.5</v>
      </c>
      <c r="L390" s="1"/>
    </row>
    <row r="391" spans="1:12" ht="48" customHeight="1" outlineLevel="6" x14ac:dyDescent="0.25">
      <c r="A391" s="18" t="s">
        <v>30</v>
      </c>
      <c r="B391" s="8"/>
      <c r="C391" s="8"/>
      <c r="D391" s="8"/>
      <c r="E391" s="19" t="s">
        <v>370</v>
      </c>
      <c r="F391" s="19" t="s">
        <v>495</v>
      </c>
      <c r="G391" s="19" t="s">
        <v>501</v>
      </c>
      <c r="H391" s="19" t="s">
        <v>501</v>
      </c>
      <c r="I391" s="46">
        <v>393.1</v>
      </c>
      <c r="J391" s="46">
        <v>393.1</v>
      </c>
      <c r="K391" s="46">
        <v>393.1</v>
      </c>
      <c r="L391" s="1"/>
    </row>
    <row r="392" spans="1:12" ht="47.25" outlineLevel="5" x14ac:dyDescent="0.25">
      <c r="A392" s="18" t="s">
        <v>138</v>
      </c>
      <c r="B392" s="8"/>
      <c r="C392" s="8"/>
      <c r="D392" s="8"/>
      <c r="E392" s="19" t="s">
        <v>371</v>
      </c>
      <c r="F392" s="19" t="s">
        <v>492</v>
      </c>
      <c r="G392" s="19" t="s">
        <v>500</v>
      </c>
      <c r="H392" s="19" t="s">
        <v>500</v>
      </c>
      <c r="I392" s="46">
        <f>I393</f>
        <v>390</v>
      </c>
      <c r="J392" s="46">
        <f t="shared" ref="J392:K392" si="169">J393</f>
        <v>190</v>
      </c>
      <c r="K392" s="46">
        <f t="shared" si="169"/>
        <v>190</v>
      </c>
      <c r="L392" s="1"/>
    </row>
    <row r="393" spans="1:12" ht="47.25" outlineLevel="6" x14ac:dyDescent="0.25">
      <c r="A393" s="18" t="s">
        <v>30</v>
      </c>
      <c r="B393" s="8"/>
      <c r="C393" s="8"/>
      <c r="D393" s="8"/>
      <c r="E393" s="19" t="s">
        <v>371</v>
      </c>
      <c r="F393" s="19" t="s">
        <v>495</v>
      </c>
      <c r="G393" s="19" t="s">
        <v>501</v>
      </c>
      <c r="H393" s="19" t="s">
        <v>501</v>
      </c>
      <c r="I393" s="46">
        <f>190+100+100</f>
        <v>390</v>
      </c>
      <c r="J393" s="46">
        <v>190</v>
      </c>
      <c r="K393" s="46">
        <v>190</v>
      </c>
      <c r="L393" s="1"/>
    </row>
    <row r="394" spans="1:12" ht="78.75" outlineLevel="5" x14ac:dyDescent="0.25">
      <c r="A394" s="18" t="s">
        <v>139</v>
      </c>
      <c r="B394" s="8"/>
      <c r="C394" s="8"/>
      <c r="D394" s="8"/>
      <c r="E394" s="19" t="s">
        <v>372</v>
      </c>
      <c r="F394" s="19" t="s">
        <v>492</v>
      </c>
      <c r="G394" s="19" t="s">
        <v>500</v>
      </c>
      <c r="H394" s="19" t="s">
        <v>500</v>
      </c>
      <c r="I394" s="46">
        <f>I395</f>
        <v>763.59999999999991</v>
      </c>
      <c r="J394" s="46">
        <f t="shared" ref="J394:K394" si="170">J395</f>
        <v>522.79999999999995</v>
      </c>
      <c r="K394" s="46">
        <f t="shared" si="170"/>
        <v>522.79999999999995</v>
      </c>
      <c r="L394" s="1"/>
    </row>
    <row r="395" spans="1:12" ht="112.5" customHeight="1" outlineLevel="6" x14ac:dyDescent="0.25">
      <c r="A395" s="18" t="s">
        <v>27</v>
      </c>
      <c r="B395" s="8"/>
      <c r="C395" s="8"/>
      <c r="D395" s="8"/>
      <c r="E395" s="19" t="s">
        <v>372</v>
      </c>
      <c r="F395" s="19" t="s">
        <v>494</v>
      </c>
      <c r="G395" s="19" t="s">
        <v>501</v>
      </c>
      <c r="H395" s="19" t="s">
        <v>501</v>
      </c>
      <c r="I395" s="46">
        <f>522.8+13+227.8</f>
        <v>763.59999999999991</v>
      </c>
      <c r="J395" s="46">
        <v>522.79999999999995</v>
      </c>
      <c r="K395" s="46">
        <v>522.79999999999995</v>
      </c>
      <c r="L395" s="1"/>
    </row>
    <row r="396" spans="1:12" ht="68.25" customHeight="1" outlineLevel="4" x14ac:dyDescent="0.25">
      <c r="A396" s="18" t="s">
        <v>140</v>
      </c>
      <c r="B396" s="8"/>
      <c r="C396" s="8"/>
      <c r="D396" s="8"/>
      <c r="E396" s="19" t="s">
        <v>373</v>
      </c>
      <c r="F396" s="19" t="s">
        <v>492</v>
      </c>
      <c r="G396" s="19" t="s">
        <v>500</v>
      </c>
      <c r="H396" s="19" t="s">
        <v>500</v>
      </c>
      <c r="I396" s="46">
        <f>I397+I398</f>
        <v>8988.482</v>
      </c>
      <c r="J396" s="46">
        <f t="shared" ref="J396:K396" si="171">J397+J398</f>
        <v>8699.1999999999989</v>
      </c>
      <c r="K396" s="46">
        <f t="shared" si="171"/>
        <v>8699.1999999999989</v>
      </c>
      <c r="L396" s="1"/>
    </row>
    <row r="397" spans="1:12" ht="110.25" customHeight="1" outlineLevel="5" x14ac:dyDescent="0.25">
      <c r="A397" s="18" t="s">
        <v>27</v>
      </c>
      <c r="B397" s="8"/>
      <c r="C397" s="8"/>
      <c r="D397" s="8"/>
      <c r="E397" s="19" t="s">
        <v>373</v>
      </c>
      <c r="F397" s="19" t="s">
        <v>494</v>
      </c>
      <c r="G397" s="19" t="s">
        <v>501</v>
      </c>
      <c r="H397" s="19" t="s">
        <v>501</v>
      </c>
      <c r="I397" s="46">
        <f>7336.4+183.38+105.902</f>
        <v>7625.6819999999998</v>
      </c>
      <c r="J397" s="46">
        <v>7336.4</v>
      </c>
      <c r="K397" s="46">
        <v>7336.4</v>
      </c>
      <c r="L397" s="1"/>
    </row>
    <row r="398" spans="1:12" ht="50.25" customHeight="1" outlineLevel="4" x14ac:dyDescent="0.25">
      <c r="A398" s="18" t="s">
        <v>30</v>
      </c>
      <c r="B398" s="8"/>
      <c r="C398" s="8"/>
      <c r="D398" s="8"/>
      <c r="E398" s="19" t="s">
        <v>373</v>
      </c>
      <c r="F398" s="19" t="s">
        <v>495</v>
      </c>
      <c r="G398" s="19" t="s">
        <v>501</v>
      </c>
      <c r="H398" s="19" t="s">
        <v>501</v>
      </c>
      <c r="I398" s="46">
        <v>1362.8</v>
      </c>
      <c r="J398" s="46">
        <v>1362.8</v>
      </c>
      <c r="K398" s="46">
        <v>1362.8</v>
      </c>
      <c r="L398" s="1"/>
    </row>
    <row r="399" spans="1:12" ht="63" customHeight="1" outlineLevel="3" x14ac:dyDescent="0.25">
      <c r="A399" s="18" t="s">
        <v>141</v>
      </c>
      <c r="B399" s="8"/>
      <c r="C399" s="8"/>
      <c r="D399" s="8"/>
      <c r="E399" s="19" t="s">
        <v>374</v>
      </c>
      <c r="F399" s="19" t="s">
        <v>492</v>
      </c>
      <c r="G399" s="19" t="s">
        <v>500</v>
      </c>
      <c r="H399" s="19" t="s">
        <v>500</v>
      </c>
      <c r="I399" s="46">
        <f>I400+I402+I405</f>
        <v>1464.6</v>
      </c>
      <c r="J399" s="46">
        <f t="shared" ref="J399:K399" si="172">J400+J402</f>
        <v>1441.6</v>
      </c>
      <c r="K399" s="46">
        <f t="shared" si="172"/>
        <v>1441.6</v>
      </c>
      <c r="L399" s="1"/>
    </row>
    <row r="400" spans="1:12" ht="65.25" customHeight="1" outlineLevel="4" x14ac:dyDescent="0.25">
      <c r="A400" s="18" t="s">
        <v>142</v>
      </c>
      <c r="B400" s="8"/>
      <c r="C400" s="8"/>
      <c r="D400" s="8"/>
      <c r="E400" s="19" t="s">
        <v>375</v>
      </c>
      <c r="F400" s="19" t="s">
        <v>492</v>
      </c>
      <c r="G400" s="19" t="s">
        <v>500</v>
      </c>
      <c r="H400" s="19" t="s">
        <v>500</v>
      </c>
      <c r="I400" s="46">
        <f>I401</f>
        <v>1228.5999999999999</v>
      </c>
      <c r="J400" s="46">
        <f t="shared" ref="J400:K400" si="173">J401</f>
        <v>1228.5999999999999</v>
      </c>
      <c r="K400" s="46">
        <f t="shared" si="173"/>
        <v>1228.5999999999999</v>
      </c>
      <c r="L400" s="1"/>
    </row>
    <row r="401" spans="1:12" ht="47.25" outlineLevel="5" x14ac:dyDescent="0.25">
      <c r="A401" s="18" t="s">
        <v>30</v>
      </c>
      <c r="B401" s="8"/>
      <c r="C401" s="8"/>
      <c r="D401" s="8"/>
      <c r="E401" s="19" t="s">
        <v>375</v>
      </c>
      <c r="F401" s="19" t="s">
        <v>495</v>
      </c>
      <c r="G401" s="19" t="s">
        <v>501</v>
      </c>
      <c r="H401" s="19" t="s">
        <v>503</v>
      </c>
      <c r="I401" s="46">
        <v>1228.5999999999999</v>
      </c>
      <c r="J401" s="46">
        <v>1228.5999999999999</v>
      </c>
      <c r="K401" s="46">
        <v>1228.5999999999999</v>
      </c>
      <c r="L401" s="1"/>
    </row>
    <row r="402" spans="1:12" ht="69" customHeight="1" outlineLevel="3" x14ac:dyDescent="0.25">
      <c r="A402" s="18" t="s">
        <v>143</v>
      </c>
      <c r="B402" s="8"/>
      <c r="C402" s="8"/>
      <c r="D402" s="8"/>
      <c r="E402" s="19" t="s">
        <v>376</v>
      </c>
      <c r="F402" s="19" t="s">
        <v>492</v>
      </c>
      <c r="G402" s="19" t="s">
        <v>500</v>
      </c>
      <c r="H402" s="19" t="s">
        <v>500</v>
      </c>
      <c r="I402" s="46">
        <f>I403</f>
        <v>186</v>
      </c>
      <c r="J402" s="46">
        <f t="shared" ref="J402:K402" si="174">J403</f>
        <v>213</v>
      </c>
      <c r="K402" s="46">
        <f t="shared" si="174"/>
        <v>213</v>
      </c>
      <c r="L402" s="1"/>
    </row>
    <row r="403" spans="1:12" ht="49.5" customHeight="1" outlineLevel="4" x14ac:dyDescent="0.25">
      <c r="A403" s="35" t="s">
        <v>30</v>
      </c>
      <c r="B403" s="36"/>
      <c r="C403" s="36"/>
      <c r="D403" s="36"/>
      <c r="E403" s="37" t="s">
        <v>376</v>
      </c>
      <c r="F403" s="37" t="s">
        <v>495</v>
      </c>
      <c r="G403" s="37" t="s">
        <v>501</v>
      </c>
      <c r="H403" s="38" t="s">
        <v>503</v>
      </c>
      <c r="I403" s="47">
        <f>213-27</f>
        <v>186</v>
      </c>
      <c r="J403" s="47">
        <v>213</v>
      </c>
      <c r="K403" s="47">
        <v>213</v>
      </c>
      <c r="L403" s="1"/>
    </row>
    <row r="404" spans="1:12" ht="0.75" customHeight="1" outlineLevel="6" x14ac:dyDescent="0.25">
      <c r="A404" s="21" t="s">
        <v>130</v>
      </c>
      <c r="B404" s="22"/>
      <c r="C404" s="22"/>
      <c r="D404" s="22"/>
      <c r="E404" s="23" t="s">
        <v>376</v>
      </c>
      <c r="F404" s="23" t="s">
        <v>495</v>
      </c>
      <c r="G404" s="23" t="s">
        <v>501</v>
      </c>
      <c r="H404" s="23" t="s">
        <v>503</v>
      </c>
      <c r="I404" s="48">
        <v>213</v>
      </c>
      <c r="J404" s="48">
        <v>213</v>
      </c>
      <c r="K404" s="48">
        <v>213</v>
      </c>
      <c r="L404" s="1"/>
    </row>
    <row r="405" spans="1:12" ht="64.5" customHeight="1" outlineLevel="6" x14ac:dyDescent="0.25">
      <c r="A405" s="18" t="s">
        <v>684</v>
      </c>
      <c r="B405" s="22"/>
      <c r="C405" s="22"/>
      <c r="D405" s="22"/>
      <c r="E405" s="50" t="s">
        <v>683</v>
      </c>
      <c r="F405" s="33" t="s">
        <v>492</v>
      </c>
      <c r="G405" s="33" t="s">
        <v>500</v>
      </c>
      <c r="H405" s="33" t="s">
        <v>500</v>
      </c>
      <c r="I405" s="48">
        <f>I406</f>
        <v>50</v>
      </c>
      <c r="J405" s="48">
        <f t="shared" ref="J405:K405" si="175">J406</f>
        <v>0</v>
      </c>
      <c r="K405" s="48">
        <f t="shared" si="175"/>
        <v>0</v>
      </c>
      <c r="L405" s="1"/>
    </row>
    <row r="406" spans="1:12" ht="49.5" customHeight="1" outlineLevel="6" x14ac:dyDescent="0.25">
      <c r="A406" s="35" t="s">
        <v>30</v>
      </c>
      <c r="B406" s="22"/>
      <c r="C406" s="22"/>
      <c r="D406" s="22"/>
      <c r="E406" s="50" t="s">
        <v>683</v>
      </c>
      <c r="F406" s="50" t="s">
        <v>495</v>
      </c>
      <c r="G406" s="50" t="s">
        <v>501</v>
      </c>
      <c r="H406" s="50" t="s">
        <v>503</v>
      </c>
      <c r="I406" s="48">
        <v>50</v>
      </c>
      <c r="J406" s="48">
        <v>0</v>
      </c>
      <c r="K406" s="48">
        <v>0</v>
      </c>
      <c r="L406" s="1"/>
    </row>
    <row r="407" spans="1:12" ht="78.75" outlineLevel="3" x14ac:dyDescent="0.25">
      <c r="A407" s="18" t="s">
        <v>144</v>
      </c>
      <c r="B407" s="39"/>
      <c r="C407" s="39"/>
      <c r="D407" s="39"/>
      <c r="E407" s="19" t="s">
        <v>377</v>
      </c>
      <c r="F407" s="19" t="s">
        <v>492</v>
      </c>
      <c r="G407" s="19" t="s">
        <v>500</v>
      </c>
      <c r="H407" s="19" t="s">
        <v>500</v>
      </c>
      <c r="I407" s="46">
        <f>I408+I410+I412</f>
        <v>1154.2</v>
      </c>
      <c r="J407" s="46">
        <f t="shared" ref="J407:K407" si="176">J408+J410+J412</f>
        <v>175.4</v>
      </c>
      <c r="K407" s="46">
        <f t="shared" si="176"/>
        <v>175.4</v>
      </c>
      <c r="L407" s="1"/>
    </row>
    <row r="408" spans="1:12" ht="101.25" customHeight="1" outlineLevel="4" x14ac:dyDescent="0.25">
      <c r="A408" s="18" t="s">
        <v>145</v>
      </c>
      <c r="B408" s="8"/>
      <c r="C408" s="8"/>
      <c r="D408" s="8"/>
      <c r="E408" s="19" t="s">
        <v>378</v>
      </c>
      <c r="F408" s="19" t="s">
        <v>492</v>
      </c>
      <c r="G408" s="19" t="s">
        <v>500</v>
      </c>
      <c r="H408" s="19" t="s">
        <v>500</v>
      </c>
      <c r="I408" s="46">
        <f>I409</f>
        <v>30.400000000000006</v>
      </c>
      <c r="J408" s="46">
        <f t="shared" ref="J408:K408" si="177">J409</f>
        <v>130.4</v>
      </c>
      <c r="K408" s="46">
        <f t="shared" si="177"/>
        <v>130.4</v>
      </c>
      <c r="L408" s="1"/>
    </row>
    <row r="409" spans="1:12" ht="31.5" outlineLevel="5" x14ac:dyDescent="0.25">
      <c r="A409" s="18" t="s">
        <v>45</v>
      </c>
      <c r="B409" s="8"/>
      <c r="C409" s="8"/>
      <c r="D409" s="8"/>
      <c r="E409" s="19" t="s">
        <v>378</v>
      </c>
      <c r="F409" s="19" t="s">
        <v>498</v>
      </c>
      <c r="G409" s="19" t="s">
        <v>501</v>
      </c>
      <c r="H409" s="19" t="s">
        <v>503</v>
      </c>
      <c r="I409" s="46">
        <f>130.4-100</f>
        <v>30.400000000000006</v>
      </c>
      <c r="J409" s="46">
        <v>130.4</v>
      </c>
      <c r="K409" s="46">
        <v>130.4</v>
      </c>
      <c r="L409" s="1"/>
    </row>
    <row r="410" spans="1:12" ht="94.5" outlineLevel="3" x14ac:dyDescent="0.25">
      <c r="A410" s="18" t="s">
        <v>146</v>
      </c>
      <c r="B410" s="8"/>
      <c r="C410" s="8"/>
      <c r="D410" s="8"/>
      <c r="E410" s="19" t="s">
        <v>379</v>
      </c>
      <c r="F410" s="19" t="s">
        <v>492</v>
      </c>
      <c r="G410" s="19" t="s">
        <v>500</v>
      </c>
      <c r="H410" s="19" t="s">
        <v>500</v>
      </c>
      <c r="I410" s="46">
        <f>I411</f>
        <v>45</v>
      </c>
      <c r="J410" s="46">
        <f t="shared" ref="J410:K410" si="178">J411</f>
        <v>25</v>
      </c>
      <c r="K410" s="46">
        <f t="shared" si="178"/>
        <v>25</v>
      </c>
      <c r="L410" s="1"/>
    </row>
    <row r="411" spans="1:12" ht="31.5" outlineLevel="4" x14ac:dyDescent="0.25">
      <c r="A411" s="18" t="s">
        <v>45</v>
      </c>
      <c r="B411" s="8"/>
      <c r="C411" s="8"/>
      <c r="D411" s="8"/>
      <c r="E411" s="19" t="s">
        <v>379</v>
      </c>
      <c r="F411" s="19" t="s">
        <v>498</v>
      </c>
      <c r="G411" s="19" t="s">
        <v>501</v>
      </c>
      <c r="H411" s="19" t="s">
        <v>503</v>
      </c>
      <c r="I411" s="46">
        <f>25+20</f>
        <v>45</v>
      </c>
      <c r="J411" s="46">
        <v>25</v>
      </c>
      <c r="K411" s="46">
        <v>25</v>
      </c>
      <c r="L411" s="4"/>
    </row>
    <row r="412" spans="1:12" ht="63" outlineLevel="4" x14ac:dyDescent="0.25">
      <c r="A412" s="18" t="s">
        <v>147</v>
      </c>
      <c r="B412" s="8"/>
      <c r="C412" s="8"/>
      <c r="D412" s="8"/>
      <c r="E412" s="19" t="s">
        <v>380</v>
      </c>
      <c r="F412" s="19" t="s">
        <v>492</v>
      </c>
      <c r="G412" s="19" t="s">
        <v>500</v>
      </c>
      <c r="H412" s="19" t="s">
        <v>500</v>
      </c>
      <c r="I412" s="46">
        <f>I413</f>
        <v>1078.8</v>
      </c>
      <c r="J412" s="46">
        <f t="shared" ref="J412:K412" si="179">J413</f>
        <v>20</v>
      </c>
      <c r="K412" s="46">
        <f t="shared" si="179"/>
        <v>20</v>
      </c>
      <c r="L412" s="1"/>
    </row>
    <row r="413" spans="1:12" ht="15.75" outlineLevel="5" x14ac:dyDescent="0.25">
      <c r="A413" s="18" t="s">
        <v>33</v>
      </c>
      <c r="B413" s="8"/>
      <c r="C413" s="8"/>
      <c r="D413" s="8"/>
      <c r="E413" s="19" t="s">
        <v>380</v>
      </c>
      <c r="F413" s="19" t="s">
        <v>496</v>
      </c>
      <c r="G413" s="19" t="s">
        <v>501</v>
      </c>
      <c r="H413" s="19" t="s">
        <v>503</v>
      </c>
      <c r="I413" s="46">
        <f>20-20+1078.8</f>
        <v>1078.8</v>
      </c>
      <c r="J413" s="46">
        <v>20</v>
      </c>
      <c r="K413" s="46">
        <v>20</v>
      </c>
      <c r="L413" s="1"/>
    </row>
    <row r="414" spans="1:12" ht="84" customHeight="1" outlineLevel="4" x14ac:dyDescent="0.25">
      <c r="A414" s="18" t="s">
        <v>148</v>
      </c>
      <c r="B414" s="8"/>
      <c r="C414" s="8"/>
      <c r="D414" s="8"/>
      <c r="E414" s="19" t="s">
        <v>381</v>
      </c>
      <c r="F414" s="19" t="s">
        <v>492</v>
      </c>
      <c r="G414" s="19" t="s">
        <v>500</v>
      </c>
      <c r="H414" s="19" t="s">
        <v>500</v>
      </c>
      <c r="I414" s="46">
        <f>I415+I417</f>
        <v>52203.112000000008</v>
      </c>
      <c r="J414" s="46">
        <f t="shared" ref="J414:K414" si="180">J415+J417</f>
        <v>50028</v>
      </c>
      <c r="K414" s="46">
        <f t="shared" si="180"/>
        <v>41327.5</v>
      </c>
      <c r="L414" s="20"/>
    </row>
    <row r="415" spans="1:12" ht="99.75" customHeight="1" outlineLevel="5" x14ac:dyDescent="0.25">
      <c r="A415" s="18" t="s">
        <v>149</v>
      </c>
      <c r="B415" s="8"/>
      <c r="C415" s="8"/>
      <c r="D415" s="8"/>
      <c r="E415" s="19" t="s">
        <v>382</v>
      </c>
      <c r="F415" s="19" t="s">
        <v>492</v>
      </c>
      <c r="G415" s="19" t="s">
        <v>500</v>
      </c>
      <c r="H415" s="19" t="s">
        <v>500</v>
      </c>
      <c r="I415" s="46">
        <f>I416</f>
        <v>52203.112000000008</v>
      </c>
      <c r="J415" s="46">
        <f t="shared" ref="J415:K415" si="181">J416</f>
        <v>50028</v>
      </c>
      <c r="K415" s="46">
        <f t="shared" si="181"/>
        <v>41327.5</v>
      </c>
      <c r="L415" s="1"/>
    </row>
    <row r="416" spans="1:12" ht="47.25" outlineLevel="6" x14ac:dyDescent="0.25">
      <c r="A416" s="18" t="s">
        <v>20</v>
      </c>
      <c r="B416" s="8"/>
      <c r="C416" s="8"/>
      <c r="D416" s="8"/>
      <c r="E416" s="19" t="s">
        <v>382</v>
      </c>
      <c r="F416" s="19" t="s">
        <v>493</v>
      </c>
      <c r="G416" s="19" t="s">
        <v>508</v>
      </c>
      <c r="H416" s="19" t="s">
        <v>506</v>
      </c>
      <c r="I416" s="46">
        <f>46982.8+5220.3+0.012</f>
        <v>52203.112000000008</v>
      </c>
      <c r="J416" s="46">
        <f>45025.2+5002.8</f>
        <v>50028</v>
      </c>
      <c r="K416" s="46">
        <f>37194.75+4132.75</f>
        <v>41327.5</v>
      </c>
      <c r="L416" s="1"/>
    </row>
    <row r="417" spans="1:12" ht="94.5" hidden="1" outlineLevel="6" x14ac:dyDescent="0.25">
      <c r="A417" s="18" t="s">
        <v>149</v>
      </c>
      <c r="B417" s="8"/>
      <c r="C417" s="8"/>
      <c r="D417" s="8"/>
      <c r="E417" s="19" t="s">
        <v>383</v>
      </c>
      <c r="F417" s="19" t="s">
        <v>492</v>
      </c>
      <c r="G417" s="19" t="s">
        <v>500</v>
      </c>
      <c r="H417" s="19" t="s">
        <v>500</v>
      </c>
      <c r="I417" s="46">
        <f>I418</f>
        <v>0</v>
      </c>
      <c r="J417" s="46">
        <f t="shared" ref="J417:K417" si="182">J418</f>
        <v>0</v>
      </c>
      <c r="K417" s="46">
        <f t="shared" si="182"/>
        <v>0</v>
      </c>
      <c r="L417" s="1"/>
    </row>
    <row r="418" spans="1:12" ht="53.25" hidden="1" customHeight="1" outlineLevel="3" x14ac:dyDescent="0.25">
      <c r="A418" s="18" t="s">
        <v>20</v>
      </c>
      <c r="B418" s="8"/>
      <c r="C418" s="8"/>
      <c r="D418" s="8"/>
      <c r="E418" s="19" t="s">
        <v>383</v>
      </c>
      <c r="F418" s="19" t="s">
        <v>493</v>
      </c>
      <c r="G418" s="19" t="s">
        <v>508</v>
      </c>
      <c r="H418" s="19" t="s">
        <v>506</v>
      </c>
      <c r="I418" s="46">
        <f>5220.3-5220.3</f>
        <v>0</v>
      </c>
      <c r="J418" s="46">
        <f>5002.8-5002.8</f>
        <v>0</v>
      </c>
      <c r="K418" s="46">
        <f>4132.75-4132.75</f>
        <v>0</v>
      </c>
      <c r="L418" s="1"/>
    </row>
    <row r="419" spans="1:12" ht="78.75" outlineLevel="6" x14ac:dyDescent="0.25">
      <c r="A419" s="18" t="s">
        <v>150</v>
      </c>
      <c r="B419" s="8"/>
      <c r="C419" s="8"/>
      <c r="D419" s="8"/>
      <c r="E419" s="19" t="s">
        <v>384</v>
      </c>
      <c r="F419" s="19" t="s">
        <v>492</v>
      </c>
      <c r="G419" s="19" t="s">
        <v>500</v>
      </c>
      <c r="H419" s="19" t="s">
        <v>500</v>
      </c>
      <c r="I419" s="46">
        <f>I420</f>
        <v>11600</v>
      </c>
      <c r="J419" s="46">
        <f t="shared" ref="J419:K420" si="183">J420</f>
        <v>11600</v>
      </c>
      <c r="K419" s="46">
        <f t="shared" si="183"/>
        <v>11600</v>
      </c>
      <c r="L419" s="1"/>
    </row>
    <row r="420" spans="1:12" ht="31.5" outlineLevel="4" x14ac:dyDescent="0.25">
      <c r="A420" s="18" t="s">
        <v>151</v>
      </c>
      <c r="B420" s="8"/>
      <c r="C420" s="8"/>
      <c r="D420" s="8"/>
      <c r="E420" s="19" t="s">
        <v>385</v>
      </c>
      <c r="F420" s="19" t="s">
        <v>492</v>
      </c>
      <c r="G420" s="19" t="s">
        <v>500</v>
      </c>
      <c r="H420" s="19" t="s">
        <v>500</v>
      </c>
      <c r="I420" s="46">
        <f>I421</f>
        <v>11600</v>
      </c>
      <c r="J420" s="46">
        <f t="shared" si="183"/>
        <v>11600</v>
      </c>
      <c r="K420" s="46">
        <f t="shared" si="183"/>
        <v>11600</v>
      </c>
      <c r="L420" s="1"/>
    </row>
    <row r="421" spans="1:12" ht="47.25" outlineLevel="5" x14ac:dyDescent="0.25">
      <c r="A421" s="18" t="s">
        <v>30</v>
      </c>
      <c r="B421" s="8"/>
      <c r="C421" s="8"/>
      <c r="D421" s="8"/>
      <c r="E421" s="19" t="s">
        <v>385</v>
      </c>
      <c r="F421" s="19" t="s">
        <v>495</v>
      </c>
      <c r="G421" s="19" t="s">
        <v>501</v>
      </c>
      <c r="H421" s="19" t="s">
        <v>503</v>
      </c>
      <c r="I421" s="46">
        <v>11600</v>
      </c>
      <c r="J421" s="46">
        <v>11600</v>
      </c>
      <c r="K421" s="46">
        <v>11600</v>
      </c>
      <c r="L421" s="1"/>
    </row>
    <row r="422" spans="1:12" ht="78.75" outlineLevel="3" x14ac:dyDescent="0.25">
      <c r="A422" s="29" t="s">
        <v>152</v>
      </c>
      <c r="B422" s="30"/>
      <c r="C422" s="30"/>
      <c r="D422" s="30"/>
      <c r="E422" s="31" t="s">
        <v>386</v>
      </c>
      <c r="F422" s="31" t="s">
        <v>492</v>
      </c>
      <c r="G422" s="31" t="s">
        <v>500</v>
      </c>
      <c r="H422" s="31" t="s">
        <v>500</v>
      </c>
      <c r="I422" s="44">
        <f>I423</f>
        <v>51565.128800000006</v>
      </c>
      <c r="J422" s="44">
        <f t="shared" ref="J422:K422" si="184">J423</f>
        <v>43681.2</v>
      </c>
      <c r="K422" s="44">
        <f t="shared" si="184"/>
        <v>43681.2</v>
      </c>
      <c r="L422" s="1"/>
    </row>
    <row r="423" spans="1:12" ht="20.25" customHeight="1" outlineLevel="4" x14ac:dyDescent="0.25">
      <c r="A423" s="32" t="s">
        <v>24</v>
      </c>
      <c r="B423" s="8"/>
      <c r="C423" s="8"/>
      <c r="D423" s="8"/>
      <c r="E423" s="8" t="s">
        <v>387</v>
      </c>
      <c r="F423" s="8" t="s">
        <v>492</v>
      </c>
      <c r="G423" s="8" t="s">
        <v>500</v>
      </c>
      <c r="H423" s="8" t="s">
        <v>500</v>
      </c>
      <c r="I423" s="45">
        <f>I424+I431+I436+I450</f>
        <v>51565.128800000006</v>
      </c>
      <c r="J423" s="45">
        <f t="shared" ref="J423:K423" si="185">J424+J431+J436</f>
        <v>43681.2</v>
      </c>
      <c r="K423" s="45">
        <f t="shared" si="185"/>
        <v>43681.2</v>
      </c>
      <c r="L423" s="1"/>
    </row>
    <row r="424" spans="1:12" ht="78.75" outlineLevel="5" x14ac:dyDescent="0.25">
      <c r="A424" s="18" t="s">
        <v>153</v>
      </c>
      <c r="B424" s="8"/>
      <c r="C424" s="8"/>
      <c r="D424" s="8"/>
      <c r="E424" s="19" t="s">
        <v>388</v>
      </c>
      <c r="F424" s="19" t="s">
        <v>492</v>
      </c>
      <c r="G424" s="19" t="s">
        <v>500</v>
      </c>
      <c r="H424" s="19" t="s">
        <v>500</v>
      </c>
      <c r="I424" s="46">
        <f>I425+I427+I429</f>
        <v>535.96546000000001</v>
      </c>
      <c r="J424" s="46">
        <f t="shared" ref="J424:K424" si="186">J425+J427+J429</f>
        <v>630</v>
      </c>
      <c r="K424" s="46">
        <f t="shared" si="186"/>
        <v>630</v>
      </c>
      <c r="L424" s="1"/>
    </row>
    <row r="425" spans="1:12" ht="47.25" outlineLevel="6" x14ac:dyDescent="0.25">
      <c r="A425" s="18" t="s">
        <v>154</v>
      </c>
      <c r="B425" s="8"/>
      <c r="C425" s="8"/>
      <c r="D425" s="8"/>
      <c r="E425" s="19" t="s">
        <v>389</v>
      </c>
      <c r="F425" s="19" t="s">
        <v>492</v>
      </c>
      <c r="G425" s="19" t="s">
        <v>500</v>
      </c>
      <c r="H425" s="19" t="s">
        <v>500</v>
      </c>
      <c r="I425" s="46">
        <f>I426</f>
        <v>82</v>
      </c>
      <c r="J425" s="46">
        <f t="shared" ref="J425:K425" si="187">J426</f>
        <v>150</v>
      </c>
      <c r="K425" s="46">
        <f t="shared" si="187"/>
        <v>150</v>
      </c>
      <c r="L425" s="1"/>
    </row>
    <row r="426" spans="1:12" ht="47.25" outlineLevel="4" x14ac:dyDescent="0.25">
      <c r="A426" s="18" t="s">
        <v>30</v>
      </c>
      <c r="B426" s="8"/>
      <c r="C426" s="8"/>
      <c r="D426" s="8"/>
      <c r="E426" s="19" t="s">
        <v>389</v>
      </c>
      <c r="F426" s="19" t="s">
        <v>495</v>
      </c>
      <c r="G426" s="19" t="s">
        <v>503</v>
      </c>
      <c r="H426" s="19" t="s">
        <v>504</v>
      </c>
      <c r="I426" s="46">
        <f>150-50-38-30+50</f>
        <v>82</v>
      </c>
      <c r="J426" s="46">
        <v>150</v>
      </c>
      <c r="K426" s="46">
        <v>150</v>
      </c>
      <c r="L426" s="4"/>
    </row>
    <row r="427" spans="1:12" ht="18.75" customHeight="1" outlineLevel="2" x14ac:dyDescent="0.25">
      <c r="A427" s="18" t="s">
        <v>155</v>
      </c>
      <c r="B427" s="8"/>
      <c r="C427" s="8"/>
      <c r="D427" s="8"/>
      <c r="E427" s="19" t="s">
        <v>390</v>
      </c>
      <c r="F427" s="19" t="s">
        <v>492</v>
      </c>
      <c r="G427" s="19" t="s">
        <v>500</v>
      </c>
      <c r="H427" s="19" t="s">
        <v>500</v>
      </c>
      <c r="I427" s="46">
        <f>I428</f>
        <v>173.96546000000001</v>
      </c>
      <c r="J427" s="46">
        <f t="shared" ref="J427:K427" si="188">J428</f>
        <v>80</v>
      </c>
      <c r="K427" s="46">
        <f t="shared" si="188"/>
        <v>80</v>
      </c>
      <c r="L427" s="1"/>
    </row>
    <row r="428" spans="1:12" ht="47.25" outlineLevel="3" x14ac:dyDescent="0.25">
      <c r="A428" s="18" t="s">
        <v>30</v>
      </c>
      <c r="B428" s="8"/>
      <c r="C428" s="8"/>
      <c r="D428" s="8"/>
      <c r="E428" s="19" t="s">
        <v>390</v>
      </c>
      <c r="F428" s="19" t="s">
        <v>495</v>
      </c>
      <c r="G428" s="19" t="s">
        <v>503</v>
      </c>
      <c r="H428" s="19" t="s">
        <v>504</v>
      </c>
      <c r="I428" s="46">
        <f>80+20+38-4.03454+40</f>
        <v>173.96546000000001</v>
      </c>
      <c r="J428" s="46">
        <v>80</v>
      </c>
      <c r="K428" s="46">
        <v>80</v>
      </c>
      <c r="L428" s="4"/>
    </row>
    <row r="429" spans="1:12" ht="47.25" outlineLevel="6" x14ac:dyDescent="0.25">
      <c r="A429" s="18" t="s">
        <v>156</v>
      </c>
      <c r="B429" s="8"/>
      <c r="C429" s="8"/>
      <c r="D429" s="8"/>
      <c r="E429" s="19" t="s">
        <v>391</v>
      </c>
      <c r="F429" s="19" t="s">
        <v>492</v>
      </c>
      <c r="G429" s="19" t="s">
        <v>500</v>
      </c>
      <c r="H429" s="19" t="s">
        <v>500</v>
      </c>
      <c r="I429" s="46">
        <f>I430</f>
        <v>280</v>
      </c>
      <c r="J429" s="46">
        <f t="shared" ref="J429:K429" si="189">J430</f>
        <v>400</v>
      </c>
      <c r="K429" s="46">
        <f t="shared" si="189"/>
        <v>400</v>
      </c>
      <c r="L429" s="1"/>
    </row>
    <row r="430" spans="1:12" ht="47.25" outlineLevel="4" x14ac:dyDescent="0.25">
      <c r="A430" s="18" t="s">
        <v>30</v>
      </c>
      <c r="B430" s="8"/>
      <c r="C430" s="8"/>
      <c r="D430" s="8"/>
      <c r="E430" s="19" t="s">
        <v>391</v>
      </c>
      <c r="F430" s="19" t="s">
        <v>495</v>
      </c>
      <c r="G430" s="19" t="s">
        <v>503</v>
      </c>
      <c r="H430" s="19" t="s">
        <v>504</v>
      </c>
      <c r="I430" s="46">
        <f>400-100-110+90</f>
        <v>280</v>
      </c>
      <c r="J430" s="46">
        <v>400</v>
      </c>
      <c r="K430" s="46">
        <v>400</v>
      </c>
      <c r="L430" s="1"/>
    </row>
    <row r="431" spans="1:12" ht="49.5" customHeight="1" outlineLevel="4" x14ac:dyDescent="0.25">
      <c r="A431" s="18" t="s">
        <v>157</v>
      </c>
      <c r="B431" s="8"/>
      <c r="C431" s="8"/>
      <c r="D431" s="8"/>
      <c r="E431" s="19" t="s">
        <v>392</v>
      </c>
      <c r="F431" s="19" t="s">
        <v>492</v>
      </c>
      <c r="G431" s="19" t="s">
        <v>500</v>
      </c>
      <c r="H431" s="19" t="s">
        <v>500</v>
      </c>
      <c r="I431" s="46">
        <f>I432+I434</f>
        <v>1621.74118</v>
      </c>
      <c r="J431" s="46">
        <f t="shared" ref="J431:K431" si="190">J432+J434</f>
        <v>274.60000000000002</v>
      </c>
      <c r="K431" s="46">
        <f t="shared" si="190"/>
        <v>274.60000000000002</v>
      </c>
      <c r="L431" s="1"/>
    </row>
    <row r="432" spans="1:12" ht="34.5" customHeight="1" outlineLevel="5" x14ac:dyDescent="0.25">
      <c r="A432" s="18" t="s">
        <v>158</v>
      </c>
      <c r="B432" s="8"/>
      <c r="C432" s="8"/>
      <c r="D432" s="8"/>
      <c r="E432" s="19" t="s">
        <v>393</v>
      </c>
      <c r="F432" s="19" t="s">
        <v>492</v>
      </c>
      <c r="G432" s="19" t="s">
        <v>500</v>
      </c>
      <c r="H432" s="19" t="s">
        <v>500</v>
      </c>
      <c r="I432" s="46">
        <f>I433</f>
        <v>403.91500000000002</v>
      </c>
      <c r="J432" s="46">
        <f t="shared" ref="J432:K432" si="191">J433</f>
        <v>80</v>
      </c>
      <c r="K432" s="46">
        <f t="shared" si="191"/>
        <v>80</v>
      </c>
      <c r="L432" s="1"/>
    </row>
    <row r="433" spans="1:12" ht="15.75" outlineLevel="6" x14ac:dyDescent="0.25">
      <c r="A433" s="18" t="s">
        <v>33</v>
      </c>
      <c r="B433" s="8"/>
      <c r="C433" s="8"/>
      <c r="D433" s="8"/>
      <c r="E433" s="19" t="s">
        <v>393</v>
      </c>
      <c r="F433" s="19" t="s">
        <v>496</v>
      </c>
      <c r="G433" s="19" t="s">
        <v>503</v>
      </c>
      <c r="H433" s="19" t="s">
        <v>504</v>
      </c>
      <c r="I433" s="46">
        <f>80+5.7+61.215+257</f>
        <v>403.91500000000002</v>
      </c>
      <c r="J433" s="46">
        <v>80</v>
      </c>
      <c r="K433" s="46">
        <v>80</v>
      </c>
      <c r="L433" s="1"/>
    </row>
    <row r="434" spans="1:12" ht="126" outlineLevel="5" x14ac:dyDescent="0.25">
      <c r="A434" s="18" t="s">
        <v>159</v>
      </c>
      <c r="B434" s="8"/>
      <c r="C434" s="8"/>
      <c r="D434" s="8"/>
      <c r="E434" s="19" t="s">
        <v>394</v>
      </c>
      <c r="F434" s="19" t="s">
        <v>492</v>
      </c>
      <c r="G434" s="19" t="s">
        <v>500</v>
      </c>
      <c r="H434" s="19" t="s">
        <v>500</v>
      </c>
      <c r="I434" s="46">
        <f>I435</f>
        <v>1217.82618</v>
      </c>
      <c r="J434" s="46">
        <f t="shared" ref="J434:K434" si="192">J435</f>
        <v>194.6</v>
      </c>
      <c r="K434" s="46">
        <f t="shared" si="192"/>
        <v>194.6</v>
      </c>
      <c r="L434" s="1"/>
    </row>
    <row r="435" spans="1:12" ht="47.25" outlineLevel="6" x14ac:dyDescent="0.25">
      <c r="A435" s="18" t="s">
        <v>30</v>
      </c>
      <c r="B435" s="8"/>
      <c r="C435" s="8"/>
      <c r="D435" s="8"/>
      <c r="E435" s="19" t="s">
        <v>394</v>
      </c>
      <c r="F435" s="19" t="s">
        <v>495</v>
      </c>
      <c r="G435" s="19" t="s">
        <v>503</v>
      </c>
      <c r="H435" s="19" t="s">
        <v>504</v>
      </c>
      <c r="I435" s="46">
        <f>194.6+1840.2-816.97382</f>
        <v>1217.82618</v>
      </c>
      <c r="J435" s="46">
        <v>194.6</v>
      </c>
      <c r="K435" s="46">
        <v>194.6</v>
      </c>
      <c r="L435" s="1"/>
    </row>
    <row r="436" spans="1:12" ht="48.75" customHeight="1" outlineLevel="6" x14ac:dyDescent="0.25">
      <c r="A436" s="18" t="s">
        <v>25</v>
      </c>
      <c r="B436" s="8"/>
      <c r="C436" s="8"/>
      <c r="D436" s="8"/>
      <c r="E436" s="19" t="s">
        <v>395</v>
      </c>
      <c r="F436" s="19" t="s">
        <v>492</v>
      </c>
      <c r="G436" s="19" t="s">
        <v>500</v>
      </c>
      <c r="H436" s="19" t="s">
        <v>500</v>
      </c>
      <c r="I436" s="46">
        <f>I437+I446+I443</f>
        <v>47876.422160000009</v>
      </c>
      <c r="J436" s="46">
        <f t="shared" ref="J436:K436" si="193">J437+J446</f>
        <v>42776.6</v>
      </c>
      <c r="K436" s="46">
        <f t="shared" si="193"/>
        <v>42776.6</v>
      </c>
      <c r="L436" s="1"/>
    </row>
    <row r="437" spans="1:12" ht="48.75" customHeight="1" outlineLevel="3" x14ac:dyDescent="0.25">
      <c r="A437" s="18" t="s">
        <v>26</v>
      </c>
      <c r="B437" s="8"/>
      <c r="C437" s="8"/>
      <c r="D437" s="8"/>
      <c r="E437" s="19" t="s">
        <v>396</v>
      </c>
      <c r="F437" s="19" t="s">
        <v>492</v>
      </c>
      <c r="G437" s="19" t="s">
        <v>500</v>
      </c>
      <c r="H437" s="19" t="s">
        <v>500</v>
      </c>
      <c r="I437" s="46">
        <f>I438+I441+I442</f>
        <v>19551.304960000005</v>
      </c>
      <c r="J437" s="46">
        <f t="shared" ref="J437:K437" si="194">J438+J441+J442</f>
        <v>16987.400000000001</v>
      </c>
      <c r="K437" s="46">
        <f t="shared" si="194"/>
        <v>16987.400000000001</v>
      </c>
      <c r="L437" s="4"/>
    </row>
    <row r="438" spans="1:12" ht="110.25" customHeight="1" outlineLevel="4" x14ac:dyDescent="0.25">
      <c r="A438" s="18" t="s">
        <v>27</v>
      </c>
      <c r="B438" s="8"/>
      <c r="C438" s="8"/>
      <c r="D438" s="8"/>
      <c r="E438" s="19" t="s">
        <v>396</v>
      </c>
      <c r="F438" s="19" t="s">
        <v>494</v>
      </c>
      <c r="G438" s="19" t="s">
        <v>503</v>
      </c>
      <c r="H438" s="19" t="s">
        <v>504</v>
      </c>
      <c r="I438" s="46">
        <f>16005.7+952.5112+1598.3888+261.7</f>
        <v>18818.300000000003</v>
      </c>
      <c r="J438" s="46">
        <v>16005.7</v>
      </c>
      <c r="K438" s="46">
        <v>16005.7</v>
      </c>
      <c r="L438" s="20"/>
    </row>
    <row r="439" spans="1:12" ht="31.5" hidden="1" outlineLevel="5" x14ac:dyDescent="0.25">
      <c r="A439" s="18" t="s">
        <v>28</v>
      </c>
      <c r="B439" s="8"/>
      <c r="C439" s="8"/>
      <c r="D439" s="8"/>
      <c r="E439" s="19" t="s">
        <v>396</v>
      </c>
      <c r="F439" s="19" t="s">
        <v>494</v>
      </c>
      <c r="G439" s="19" t="s">
        <v>503</v>
      </c>
      <c r="H439" s="19" t="s">
        <v>500</v>
      </c>
      <c r="I439" s="46">
        <v>16005.7</v>
      </c>
      <c r="J439" s="46">
        <v>16005.7</v>
      </c>
      <c r="K439" s="46">
        <v>16005.7</v>
      </c>
      <c r="L439" s="1"/>
    </row>
    <row r="440" spans="1:12" ht="31.5" hidden="1" outlineLevel="6" x14ac:dyDescent="0.25">
      <c r="A440" s="18" t="s">
        <v>29</v>
      </c>
      <c r="B440" s="8"/>
      <c r="C440" s="8"/>
      <c r="D440" s="8"/>
      <c r="E440" s="19" t="s">
        <v>396</v>
      </c>
      <c r="F440" s="19" t="s">
        <v>494</v>
      </c>
      <c r="G440" s="19" t="s">
        <v>503</v>
      </c>
      <c r="H440" s="19" t="s">
        <v>504</v>
      </c>
      <c r="I440" s="46">
        <v>16005.7</v>
      </c>
      <c r="J440" s="46">
        <v>16005.7</v>
      </c>
      <c r="K440" s="46">
        <v>16005.7</v>
      </c>
      <c r="L440" s="1"/>
    </row>
    <row r="441" spans="1:12" ht="47.25" outlineLevel="4" collapsed="1" x14ac:dyDescent="0.25">
      <c r="A441" s="18" t="s">
        <v>30</v>
      </c>
      <c r="B441" s="8"/>
      <c r="C441" s="8"/>
      <c r="D441" s="8"/>
      <c r="E441" s="19" t="s">
        <v>396</v>
      </c>
      <c r="F441" s="19" t="s">
        <v>495</v>
      </c>
      <c r="G441" s="19" t="s">
        <v>503</v>
      </c>
      <c r="H441" s="19" t="s">
        <v>504</v>
      </c>
      <c r="I441" s="46">
        <f>981.3+130-120.14255-378.23923-5.7+125.38674</f>
        <v>732.60495999999989</v>
      </c>
      <c r="J441" s="46">
        <v>981.3</v>
      </c>
      <c r="K441" s="46">
        <v>981.3</v>
      </c>
      <c r="L441" s="1"/>
    </row>
    <row r="442" spans="1:12" ht="15.75" outlineLevel="4" x14ac:dyDescent="0.25">
      <c r="A442" s="18" t="s">
        <v>33</v>
      </c>
      <c r="B442" s="8"/>
      <c r="C442" s="8"/>
      <c r="D442" s="8"/>
      <c r="E442" s="19" t="s">
        <v>396</v>
      </c>
      <c r="F442" s="19" t="s">
        <v>496</v>
      </c>
      <c r="G442" s="19" t="s">
        <v>503</v>
      </c>
      <c r="H442" s="19" t="s">
        <v>504</v>
      </c>
      <c r="I442" s="46">
        <v>0.4</v>
      </c>
      <c r="J442" s="46">
        <v>0.4</v>
      </c>
      <c r="K442" s="46">
        <v>0.4</v>
      </c>
      <c r="L442" s="1"/>
    </row>
    <row r="443" spans="1:12" ht="15.75" outlineLevel="4" x14ac:dyDescent="0.25">
      <c r="A443" s="18" t="s">
        <v>588</v>
      </c>
      <c r="B443" s="8"/>
      <c r="C443" s="8"/>
      <c r="D443" s="8"/>
      <c r="E443" s="33" t="s">
        <v>587</v>
      </c>
      <c r="F443" s="33" t="s">
        <v>492</v>
      </c>
      <c r="G443" s="33" t="s">
        <v>500</v>
      </c>
      <c r="H443" s="33" t="s">
        <v>500</v>
      </c>
      <c r="I443" s="46">
        <f>I444+I445</f>
        <v>1733.5884000000001</v>
      </c>
      <c r="J443" s="46">
        <f t="shared" ref="J443:K443" si="195">J444+J445</f>
        <v>0</v>
      </c>
      <c r="K443" s="46">
        <f t="shared" si="195"/>
        <v>0</v>
      </c>
      <c r="L443" s="1"/>
    </row>
    <row r="444" spans="1:12" ht="47.25" outlineLevel="4" x14ac:dyDescent="0.25">
      <c r="A444" s="18" t="s">
        <v>30</v>
      </c>
      <c r="B444" s="8"/>
      <c r="C444" s="8"/>
      <c r="D444" s="8"/>
      <c r="E444" s="33" t="s">
        <v>587</v>
      </c>
      <c r="F444" s="33" t="s">
        <v>495</v>
      </c>
      <c r="G444" s="33" t="s">
        <v>503</v>
      </c>
      <c r="H444" s="33" t="s">
        <v>504</v>
      </c>
      <c r="I444" s="46">
        <f>114.14255+361.99923+125.08512+126.77034+797.18583</f>
        <v>1525.18307</v>
      </c>
      <c r="J444" s="46">
        <v>0</v>
      </c>
      <c r="K444" s="46">
        <v>0</v>
      </c>
      <c r="L444" s="1"/>
    </row>
    <row r="445" spans="1:12" ht="15.75" outlineLevel="4" x14ac:dyDescent="0.25">
      <c r="A445" s="18" t="s">
        <v>33</v>
      </c>
      <c r="B445" s="8"/>
      <c r="C445" s="8"/>
      <c r="D445" s="8"/>
      <c r="E445" s="33" t="s">
        <v>587</v>
      </c>
      <c r="F445" s="33" t="s">
        <v>496</v>
      </c>
      <c r="G445" s="33" t="s">
        <v>503</v>
      </c>
      <c r="H445" s="33" t="s">
        <v>504</v>
      </c>
      <c r="I445" s="46">
        <f>6+16.24+67.81016+18.94942+79.61776+19.78799</f>
        <v>208.40533000000002</v>
      </c>
      <c r="J445" s="46">
        <v>0</v>
      </c>
      <c r="K445" s="46">
        <v>0</v>
      </c>
      <c r="L445" s="1"/>
    </row>
    <row r="446" spans="1:12" ht="78.75" outlineLevel="3" x14ac:dyDescent="0.25">
      <c r="A446" s="18" t="s">
        <v>160</v>
      </c>
      <c r="B446" s="8"/>
      <c r="C446" s="8"/>
      <c r="D446" s="8"/>
      <c r="E446" s="19" t="s">
        <v>397</v>
      </c>
      <c r="F446" s="19" t="s">
        <v>492</v>
      </c>
      <c r="G446" s="19" t="s">
        <v>500</v>
      </c>
      <c r="H446" s="19" t="s">
        <v>500</v>
      </c>
      <c r="I446" s="46">
        <f>I447+I448+I449</f>
        <v>26591.5288</v>
      </c>
      <c r="J446" s="46">
        <f t="shared" ref="J446:K446" si="196">J447+J448+J449</f>
        <v>25789.199999999997</v>
      </c>
      <c r="K446" s="46">
        <f t="shared" si="196"/>
        <v>25789.199999999997</v>
      </c>
      <c r="L446" s="4"/>
    </row>
    <row r="447" spans="1:12" ht="111" customHeight="1" outlineLevel="4" x14ac:dyDescent="0.25">
      <c r="A447" s="18" t="s">
        <v>27</v>
      </c>
      <c r="B447" s="8"/>
      <c r="C447" s="8"/>
      <c r="D447" s="8"/>
      <c r="E447" s="19" t="s">
        <v>397</v>
      </c>
      <c r="F447" s="19" t="s">
        <v>494</v>
      </c>
      <c r="G447" s="19" t="s">
        <v>503</v>
      </c>
      <c r="H447" s="19" t="s">
        <v>504</v>
      </c>
      <c r="I447" s="46">
        <f>16302.1+426.4525+246.2763+20</f>
        <v>16994.828800000003</v>
      </c>
      <c r="J447" s="46">
        <v>16302.1</v>
      </c>
      <c r="K447" s="46">
        <v>16302.1</v>
      </c>
      <c r="L447" s="1"/>
    </row>
    <row r="448" spans="1:12" ht="47.25" outlineLevel="4" x14ac:dyDescent="0.25">
      <c r="A448" s="18" t="s">
        <v>30</v>
      </c>
      <c r="B448" s="8"/>
      <c r="C448" s="8"/>
      <c r="D448" s="8"/>
      <c r="E448" s="19" t="s">
        <v>397</v>
      </c>
      <c r="F448" s="19" t="s">
        <v>495</v>
      </c>
      <c r="G448" s="19" t="s">
        <v>503</v>
      </c>
      <c r="H448" s="19" t="s">
        <v>504</v>
      </c>
      <c r="I448" s="46">
        <f>9042-127.33516-119.401+129.02516-20</f>
        <v>8904.2889999999989</v>
      </c>
      <c r="J448" s="46">
        <v>9042</v>
      </c>
      <c r="K448" s="46">
        <v>9042</v>
      </c>
      <c r="L448" s="1"/>
    </row>
    <row r="449" spans="1:12" ht="15.75" x14ac:dyDescent="0.25">
      <c r="A449" s="18" t="s">
        <v>33</v>
      </c>
      <c r="B449" s="8"/>
      <c r="C449" s="8"/>
      <c r="D449" s="8"/>
      <c r="E449" s="19" t="s">
        <v>397</v>
      </c>
      <c r="F449" s="19" t="s">
        <v>496</v>
      </c>
      <c r="G449" s="19" t="s">
        <v>503</v>
      </c>
      <c r="H449" s="19" t="s">
        <v>504</v>
      </c>
      <c r="I449" s="46">
        <f>445.1+59.525+58.186+129.6</f>
        <v>692.41100000000006</v>
      </c>
      <c r="J449" s="46">
        <v>445.1</v>
      </c>
      <c r="K449" s="46">
        <v>445.1</v>
      </c>
      <c r="L449" s="1"/>
    </row>
    <row r="450" spans="1:12" ht="47.25" customHeight="1" x14ac:dyDescent="0.25">
      <c r="A450" s="18" t="s">
        <v>591</v>
      </c>
      <c r="B450" s="8"/>
      <c r="C450" s="8"/>
      <c r="D450" s="8"/>
      <c r="E450" s="33" t="s">
        <v>589</v>
      </c>
      <c r="F450" s="19" t="s">
        <v>492</v>
      </c>
      <c r="G450" s="19" t="s">
        <v>500</v>
      </c>
      <c r="H450" s="19" t="s">
        <v>500</v>
      </c>
      <c r="I450" s="46">
        <f>I451</f>
        <v>1531</v>
      </c>
      <c r="J450" s="46">
        <f t="shared" ref="J450:K451" si="197">J451</f>
        <v>0</v>
      </c>
      <c r="K450" s="46">
        <f t="shared" si="197"/>
        <v>0</v>
      </c>
      <c r="L450" s="1"/>
    </row>
    <row r="451" spans="1:12" ht="82.5" customHeight="1" x14ac:dyDescent="0.25">
      <c r="A451" s="18" t="s">
        <v>592</v>
      </c>
      <c r="B451" s="8"/>
      <c r="C451" s="8"/>
      <c r="D451" s="8"/>
      <c r="E451" s="33" t="s">
        <v>590</v>
      </c>
      <c r="F451" s="19" t="s">
        <v>492</v>
      </c>
      <c r="G451" s="19" t="s">
        <v>500</v>
      </c>
      <c r="H451" s="19" t="s">
        <v>500</v>
      </c>
      <c r="I451" s="46">
        <f>I452</f>
        <v>1531</v>
      </c>
      <c r="J451" s="46">
        <f t="shared" si="197"/>
        <v>0</v>
      </c>
      <c r="K451" s="46">
        <f t="shared" si="197"/>
        <v>0</v>
      </c>
      <c r="L451" s="1"/>
    </row>
    <row r="452" spans="1:12" ht="47.25" x14ac:dyDescent="0.25">
      <c r="A452" s="18" t="s">
        <v>20</v>
      </c>
      <c r="B452" s="8"/>
      <c r="C452" s="8"/>
      <c r="D452" s="8"/>
      <c r="E452" s="33" t="s">
        <v>590</v>
      </c>
      <c r="F452" s="33" t="s">
        <v>493</v>
      </c>
      <c r="G452" s="33" t="s">
        <v>503</v>
      </c>
      <c r="H452" s="33" t="s">
        <v>504</v>
      </c>
      <c r="I452" s="46">
        <v>1531</v>
      </c>
      <c r="J452" s="46">
        <v>0</v>
      </c>
      <c r="K452" s="46">
        <v>0</v>
      </c>
      <c r="L452" s="1"/>
    </row>
    <row r="453" spans="1:12" ht="47.25" outlineLevel="3" x14ac:dyDescent="0.25">
      <c r="A453" s="29" t="s">
        <v>161</v>
      </c>
      <c r="B453" s="30"/>
      <c r="C453" s="30"/>
      <c r="D453" s="30"/>
      <c r="E453" s="31" t="s">
        <v>398</v>
      </c>
      <c r="F453" s="31" t="s">
        <v>492</v>
      </c>
      <c r="G453" s="31" t="s">
        <v>500</v>
      </c>
      <c r="H453" s="31" t="s">
        <v>500</v>
      </c>
      <c r="I453" s="44">
        <f>I454+I458+I477</f>
        <v>198807.87410000002</v>
      </c>
      <c r="J453" s="44">
        <f t="shared" ref="J453:K453" si="198">J454+J458+J477</f>
        <v>192459.80000000002</v>
      </c>
      <c r="K453" s="44">
        <f t="shared" si="198"/>
        <v>188306.90000000002</v>
      </c>
      <c r="L453" s="1"/>
    </row>
    <row r="454" spans="1:12" ht="78.75" outlineLevel="4" x14ac:dyDescent="0.25">
      <c r="A454" s="32" t="s">
        <v>17</v>
      </c>
      <c r="B454" s="8"/>
      <c r="C454" s="8"/>
      <c r="D454" s="8"/>
      <c r="E454" s="8" t="s">
        <v>399</v>
      </c>
      <c r="F454" s="8" t="s">
        <v>492</v>
      </c>
      <c r="G454" s="8" t="s">
        <v>500</v>
      </c>
      <c r="H454" s="8" t="s">
        <v>500</v>
      </c>
      <c r="I454" s="45">
        <f>I455</f>
        <v>0</v>
      </c>
      <c r="J454" s="45">
        <f t="shared" ref="J454:K455" si="199">J455</f>
        <v>4247.6000000000004</v>
      </c>
      <c r="K454" s="45">
        <f t="shared" si="199"/>
        <v>0</v>
      </c>
      <c r="L454" s="1"/>
    </row>
    <row r="455" spans="1:12" ht="31.5" outlineLevel="5" x14ac:dyDescent="0.25">
      <c r="A455" s="18" t="s">
        <v>162</v>
      </c>
      <c r="B455" s="8"/>
      <c r="C455" s="8"/>
      <c r="D455" s="8"/>
      <c r="E455" s="19" t="s">
        <v>400</v>
      </c>
      <c r="F455" s="19" t="s">
        <v>492</v>
      </c>
      <c r="G455" s="19" t="s">
        <v>500</v>
      </c>
      <c r="H455" s="19" t="s">
        <v>500</v>
      </c>
      <c r="I455" s="46">
        <f>I456</f>
        <v>0</v>
      </c>
      <c r="J455" s="46">
        <f t="shared" si="199"/>
        <v>4247.6000000000004</v>
      </c>
      <c r="K455" s="46">
        <f t="shared" si="199"/>
        <v>0</v>
      </c>
      <c r="L455" s="1"/>
    </row>
    <row r="456" spans="1:12" ht="31.5" outlineLevel="6" x14ac:dyDescent="0.25">
      <c r="A456" s="18" t="s">
        <v>163</v>
      </c>
      <c r="B456" s="8"/>
      <c r="C456" s="8"/>
      <c r="D456" s="8"/>
      <c r="E456" s="19" t="s">
        <v>401</v>
      </c>
      <c r="F456" s="19" t="s">
        <v>492</v>
      </c>
      <c r="G456" s="19" t="s">
        <v>500</v>
      </c>
      <c r="H456" s="19" t="s">
        <v>500</v>
      </c>
      <c r="I456" s="46">
        <f>I457</f>
        <v>0</v>
      </c>
      <c r="J456" s="46">
        <f t="shared" ref="J456:K456" si="200">J457</f>
        <v>4247.6000000000004</v>
      </c>
      <c r="K456" s="46">
        <f t="shared" si="200"/>
        <v>0</v>
      </c>
      <c r="L456" s="1"/>
    </row>
    <row r="457" spans="1:12" ht="49.5" customHeight="1" outlineLevel="3" x14ac:dyDescent="0.25">
      <c r="A457" s="18" t="s">
        <v>36</v>
      </c>
      <c r="B457" s="8"/>
      <c r="C457" s="8"/>
      <c r="D457" s="8"/>
      <c r="E457" s="19" t="s">
        <v>401</v>
      </c>
      <c r="F457" s="19" t="s">
        <v>497</v>
      </c>
      <c r="G457" s="19" t="s">
        <v>511</v>
      </c>
      <c r="H457" s="19" t="s">
        <v>503</v>
      </c>
      <c r="I457" s="46">
        <v>0</v>
      </c>
      <c r="J457" s="46">
        <v>4247.6000000000004</v>
      </c>
      <c r="K457" s="46">
        <v>0</v>
      </c>
      <c r="L457" s="1"/>
    </row>
    <row r="458" spans="1:12" ht="36" customHeight="1" outlineLevel="6" x14ac:dyDescent="0.25">
      <c r="A458" s="32" t="s">
        <v>21</v>
      </c>
      <c r="B458" s="8"/>
      <c r="C458" s="8"/>
      <c r="D458" s="8"/>
      <c r="E458" s="8" t="s">
        <v>402</v>
      </c>
      <c r="F458" s="8" t="s">
        <v>492</v>
      </c>
      <c r="G458" s="8" t="s">
        <v>500</v>
      </c>
      <c r="H458" s="8" t="s">
        <v>500</v>
      </c>
      <c r="I458" s="45">
        <f>I459+I468+I471+I463+I474</f>
        <v>80025.100000000006</v>
      </c>
      <c r="J458" s="45">
        <f>J459+J468+J471+J463</f>
        <v>72330.8</v>
      </c>
      <c r="K458" s="45">
        <f>K459+K468+K471+K463</f>
        <v>72207</v>
      </c>
      <c r="L458" s="1"/>
    </row>
    <row r="459" spans="1:12" ht="35.25" customHeight="1" outlineLevel="3" x14ac:dyDescent="0.25">
      <c r="A459" s="18" t="s">
        <v>164</v>
      </c>
      <c r="B459" s="8"/>
      <c r="C459" s="8"/>
      <c r="D459" s="8"/>
      <c r="E459" s="19" t="s">
        <v>403</v>
      </c>
      <c r="F459" s="19" t="s">
        <v>492</v>
      </c>
      <c r="G459" s="19" t="s">
        <v>500</v>
      </c>
      <c r="H459" s="19" t="s">
        <v>500</v>
      </c>
      <c r="I459" s="46">
        <f>I460</f>
        <v>54461.7</v>
      </c>
      <c r="J459" s="46">
        <f t="shared" ref="J459:K459" si="201">J460</f>
        <v>48606.5</v>
      </c>
      <c r="K459" s="46">
        <f t="shared" si="201"/>
        <v>48606.5</v>
      </c>
      <c r="L459" s="1"/>
    </row>
    <row r="460" spans="1:12" ht="111.75" customHeight="1" outlineLevel="4" x14ac:dyDescent="0.25">
      <c r="A460" s="18" t="s">
        <v>165</v>
      </c>
      <c r="B460" s="8"/>
      <c r="C460" s="8"/>
      <c r="D460" s="8"/>
      <c r="E460" s="19" t="s">
        <v>404</v>
      </c>
      <c r="F460" s="19" t="s">
        <v>492</v>
      </c>
      <c r="G460" s="19" t="s">
        <v>500</v>
      </c>
      <c r="H460" s="19" t="s">
        <v>500</v>
      </c>
      <c r="I460" s="46">
        <f>I461+I462</f>
        <v>54461.7</v>
      </c>
      <c r="J460" s="46">
        <f t="shared" ref="J460:K460" si="202">J461+J462</f>
        <v>48606.5</v>
      </c>
      <c r="K460" s="46">
        <f t="shared" si="202"/>
        <v>48606.5</v>
      </c>
      <c r="L460" s="1"/>
    </row>
    <row r="461" spans="1:12" ht="46.5" customHeight="1" outlineLevel="1" x14ac:dyDescent="0.25">
      <c r="A461" s="18" t="s">
        <v>36</v>
      </c>
      <c r="B461" s="8"/>
      <c r="C461" s="8"/>
      <c r="D461" s="8"/>
      <c r="E461" s="19" t="s">
        <v>404</v>
      </c>
      <c r="F461" s="19" t="s">
        <v>497</v>
      </c>
      <c r="G461" s="19" t="s">
        <v>510</v>
      </c>
      <c r="H461" s="19" t="s">
        <v>505</v>
      </c>
      <c r="I461" s="46">
        <f>7779.7+1500</f>
        <v>9279.7000000000007</v>
      </c>
      <c r="J461" s="46">
        <v>7779.7</v>
      </c>
      <c r="K461" s="46">
        <v>7779.7</v>
      </c>
      <c r="L461" s="20"/>
    </row>
    <row r="462" spans="1:12" ht="47.25" customHeight="1" outlineLevel="3" x14ac:dyDescent="0.25">
      <c r="A462" s="18" t="s">
        <v>36</v>
      </c>
      <c r="B462" s="8"/>
      <c r="C462" s="8"/>
      <c r="D462" s="8"/>
      <c r="E462" s="19" t="s">
        <v>404</v>
      </c>
      <c r="F462" s="19" t="s">
        <v>497</v>
      </c>
      <c r="G462" s="19" t="s">
        <v>511</v>
      </c>
      <c r="H462" s="19" t="s">
        <v>503</v>
      </c>
      <c r="I462" s="46">
        <f>40826.8+4355.2</f>
        <v>45182</v>
      </c>
      <c r="J462" s="46">
        <v>40826.800000000003</v>
      </c>
      <c r="K462" s="46">
        <v>40826.800000000003</v>
      </c>
      <c r="L462" s="1"/>
    </row>
    <row r="463" spans="1:12" ht="66" customHeight="1" outlineLevel="3" x14ac:dyDescent="0.25">
      <c r="A463" s="18" t="s">
        <v>609</v>
      </c>
      <c r="B463" s="8"/>
      <c r="C463" s="8"/>
      <c r="D463" s="8"/>
      <c r="E463" s="33" t="s">
        <v>606</v>
      </c>
      <c r="F463" s="19" t="s">
        <v>492</v>
      </c>
      <c r="G463" s="19" t="s">
        <v>500</v>
      </c>
      <c r="H463" s="19" t="s">
        <v>500</v>
      </c>
      <c r="I463" s="46">
        <f>I464+I466</f>
        <v>20000</v>
      </c>
      <c r="J463" s="46">
        <f>J464+J466</f>
        <v>20000</v>
      </c>
      <c r="K463" s="46">
        <f>K464+K466</f>
        <v>20000</v>
      </c>
      <c r="L463" s="1"/>
    </row>
    <row r="464" spans="1:12" ht="36" customHeight="1" outlineLevel="3" x14ac:dyDescent="0.25">
      <c r="A464" s="40" t="s">
        <v>608</v>
      </c>
      <c r="B464" s="34"/>
      <c r="C464" s="8"/>
      <c r="D464" s="8"/>
      <c r="E464" s="33" t="s">
        <v>607</v>
      </c>
      <c r="F464" s="19" t="s">
        <v>492</v>
      </c>
      <c r="G464" s="19" t="s">
        <v>500</v>
      </c>
      <c r="H464" s="19" t="s">
        <v>500</v>
      </c>
      <c r="I464" s="46">
        <f>I465</f>
        <v>10000</v>
      </c>
      <c r="J464" s="46">
        <f t="shared" ref="J464:K464" si="203">J465</f>
        <v>10000</v>
      </c>
      <c r="K464" s="46">
        <f t="shared" si="203"/>
        <v>10000</v>
      </c>
      <c r="L464" s="1"/>
    </row>
    <row r="465" spans="1:12" ht="47.25" customHeight="1" outlineLevel="3" x14ac:dyDescent="0.25">
      <c r="A465" s="18" t="s">
        <v>36</v>
      </c>
      <c r="B465" s="8"/>
      <c r="C465" s="8"/>
      <c r="D465" s="8"/>
      <c r="E465" s="33" t="s">
        <v>607</v>
      </c>
      <c r="F465" s="33" t="s">
        <v>497</v>
      </c>
      <c r="G465" s="33" t="s">
        <v>511</v>
      </c>
      <c r="H465" s="33" t="s">
        <v>503</v>
      </c>
      <c r="I465" s="46">
        <v>10000</v>
      </c>
      <c r="J465" s="46">
        <v>10000</v>
      </c>
      <c r="K465" s="46">
        <v>10000</v>
      </c>
      <c r="L465" s="1"/>
    </row>
    <row r="466" spans="1:12" ht="35.25" customHeight="1" outlineLevel="3" x14ac:dyDescent="0.25">
      <c r="A466" s="40" t="s">
        <v>608</v>
      </c>
      <c r="B466" s="8"/>
      <c r="C466" s="8"/>
      <c r="D466" s="8"/>
      <c r="E466" s="33" t="s">
        <v>611</v>
      </c>
      <c r="F466" s="19" t="s">
        <v>492</v>
      </c>
      <c r="G466" s="19" t="s">
        <v>500</v>
      </c>
      <c r="H466" s="19" t="s">
        <v>500</v>
      </c>
      <c r="I466" s="46">
        <f>I467</f>
        <v>10000</v>
      </c>
      <c r="J466" s="46">
        <f t="shared" ref="J466:K466" si="204">J467</f>
        <v>10000</v>
      </c>
      <c r="K466" s="46">
        <f t="shared" si="204"/>
        <v>10000</v>
      </c>
      <c r="L466" s="1"/>
    </row>
    <row r="467" spans="1:12" ht="47.25" customHeight="1" outlineLevel="3" x14ac:dyDescent="0.25">
      <c r="A467" s="18" t="s">
        <v>36</v>
      </c>
      <c r="B467" s="8"/>
      <c r="C467" s="8"/>
      <c r="D467" s="8"/>
      <c r="E467" s="33" t="s">
        <v>611</v>
      </c>
      <c r="F467" s="33" t="s">
        <v>497</v>
      </c>
      <c r="G467" s="33" t="s">
        <v>511</v>
      </c>
      <c r="H467" s="33" t="s">
        <v>503</v>
      </c>
      <c r="I467" s="46">
        <v>10000</v>
      </c>
      <c r="J467" s="46">
        <v>10000</v>
      </c>
      <c r="K467" s="46">
        <v>10000</v>
      </c>
      <c r="L467" s="1"/>
    </row>
    <row r="468" spans="1:12" ht="47.25" outlineLevel="4" x14ac:dyDescent="0.25">
      <c r="A468" s="18" t="s">
        <v>166</v>
      </c>
      <c r="B468" s="8"/>
      <c r="C468" s="8"/>
      <c r="D468" s="8"/>
      <c r="E468" s="19" t="s">
        <v>405</v>
      </c>
      <c r="F468" s="19" t="s">
        <v>492</v>
      </c>
      <c r="G468" s="19" t="s">
        <v>500</v>
      </c>
      <c r="H468" s="19" t="s">
        <v>500</v>
      </c>
      <c r="I468" s="46">
        <f>I469</f>
        <v>542.5</v>
      </c>
      <c r="J468" s="46">
        <f t="shared" ref="J468:K469" si="205">J469</f>
        <v>542.5</v>
      </c>
      <c r="K468" s="46">
        <f t="shared" si="205"/>
        <v>543.29999999999995</v>
      </c>
      <c r="L468" s="1"/>
    </row>
    <row r="469" spans="1:12" ht="126" outlineLevel="5" x14ac:dyDescent="0.25">
      <c r="A469" s="18" t="s">
        <v>167</v>
      </c>
      <c r="B469" s="8"/>
      <c r="C469" s="8"/>
      <c r="D469" s="8"/>
      <c r="E469" s="19" t="s">
        <v>406</v>
      </c>
      <c r="F469" s="19" t="s">
        <v>492</v>
      </c>
      <c r="G469" s="19" t="s">
        <v>500</v>
      </c>
      <c r="H469" s="19" t="s">
        <v>500</v>
      </c>
      <c r="I469" s="46">
        <f>I470</f>
        <v>542.5</v>
      </c>
      <c r="J469" s="46">
        <f t="shared" si="205"/>
        <v>542.5</v>
      </c>
      <c r="K469" s="46">
        <f t="shared" si="205"/>
        <v>543.29999999999995</v>
      </c>
      <c r="L469" s="1"/>
    </row>
    <row r="470" spans="1:12" ht="52.5" customHeight="1" outlineLevel="6" x14ac:dyDescent="0.25">
      <c r="A470" s="18" t="s">
        <v>36</v>
      </c>
      <c r="B470" s="8"/>
      <c r="C470" s="8"/>
      <c r="D470" s="8"/>
      <c r="E470" s="19" t="s">
        <v>406</v>
      </c>
      <c r="F470" s="19" t="s">
        <v>497</v>
      </c>
      <c r="G470" s="19" t="s">
        <v>511</v>
      </c>
      <c r="H470" s="19" t="s">
        <v>503</v>
      </c>
      <c r="I470" s="46">
        <v>542.5</v>
      </c>
      <c r="J470" s="46">
        <v>542.5</v>
      </c>
      <c r="K470" s="46">
        <v>543.29999999999995</v>
      </c>
      <c r="L470" s="1"/>
    </row>
    <row r="471" spans="1:12" ht="22.5" customHeight="1" outlineLevel="5" x14ac:dyDescent="0.25">
      <c r="A471" s="18" t="s">
        <v>168</v>
      </c>
      <c r="B471" s="8"/>
      <c r="C471" s="8"/>
      <c r="D471" s="8"/>
      <c r="E471" s="19" t="s">
        <v>407</v>
      </c>
      <c r="F471" s="19" t="s">
        <v>492</v>
      </c>
      <c r="G471" s="19" t="s">
        <v>500</v>
      </c>
      <c r="H471" s="19" t="s">
        <v>500</v>
      </c>
      <c r="I471" s="46">
        <f>I472</f>
        <v>4533.3</v>
      </c>
      <c r="J471" s="46">
        <f t="shared" ref="J471:K471" si="206">J472</f>
        <v>3181.8</v>
      </c>
      <c r="K471" s="46">
        <f t="shared" si="206"/>
        <v>3057.2</v>
      </c>
      <c r="L471" s="1"/>
    </row>
    <row r="472" spans="1:12" ht="95.25" customHeight="1" outlineLevel="6" x14ac:dyDescent="0.25">
      <c r="A472" s="18" t="s">
        <v>169</v>
      </c>
      <c r="B472" s="8"/>
      <c r="C472" s="8"/>
      <c r="D472" s="8"/>
      <c r="E472" s="19" t="s">
        <v>408</v>
      </c>
      <c r="F472" s="19" t="s">
        <v>492</v>
      </c>
      <c r="G472" s="19" t="s">
        <v>500</v>
      </c>
      <c r="H472" s="19" t="s">
        <v>500</v>
      </c>
      <c r="I472" s="46">
        <f>I473</f>
        <v>4533.3</v>
      </c>
      <c r="J472" s="46">
        <f t="shared" ref="J472:K472" si="207">J473</f>
        <v>3181.8</v>
      </c>
      <c r="K472" s="46">
        <f t="shared" si="207"/>
        <v>3057.2</v>
      </c>
      <c r="L472" s="1"/>
    </row>
    <row r="473" spans="1:12" ht="51.75" customHeight="1" outlineLevel="2" x14ac:dyDescent="0.25">
      <c r="A473" s="18" t="s">
        <v>36</v>
      </c>
      <c r="B473" s="8"/>
      <c r="C473" s="8"/>
      <c r="D473" s="8"/>
      <c r="E473" s="19" t="s">
        <v>408</v>
      </c>
      <c r="F473" s="19" t="s">
        <v>497</v>
      </c>
      <c r="G473" s="19" t="s">
        <v>511</v>
      </c>
      <c r="H473" s="19" t="s">
        <v>503</v>
      </c>
      <c r="I473" s="46">
        <v>4533.3</v>
      </c>
      <c r="J473" s="46">
        <v>3181.8</v>
      </c>
      <c r="K473" s="46">
        <v>3057.2</v>
      </c>
      <c r="L473" s="1"/>
    </row>
    <row r="474" spans="1:12" ht="51.75" customHeight="1" outlineLevel="2" x14ac:dyDescent="0.25">
      <c r="A474" s="18" t="s">
        <v>658</v>
      </c>
      <c r="B474" s="8"/>
      <c r="C474" s="8"/>
      <c r="D474" s="8"/>
      <c r="E474" s="33" t="s">
        <v>656</v>
      </c>
      <c r="F474" s="33" t="s">
        <v>492</v>
      </c>
      <c r="G474" s="33" t="s">
        <v>500</v>
      </c>
      <c r="H474" s="33" t="s">
        <v>500</v>
      </c>
      <c r="I474" s="46">
        <f>I475</f>
        <v>487.6</v>
      </c>
      <c r="J474" s="46">
        <f t="shared" ref="J474:K475" si="208">J475</f>
        <v>0</v>
      </c>
      <c r="K474" s="46">
        <f t="shared" si="208"/>
        <v>0</v>
      </c>
      <c r="L474" s="1"/>
    </row>
    <row r="475" spans="1:12" ht="96" customHeight="1" outlineLevel="2" x14ac:dyDescent="0.25">
      <c r="A475" s="18" t="s">
        <v>659</v>
      </c>
      <c r="B475" s="8"/>
      <c r="C475" s="8"/>
      <c r="D475" s="8"/>
      <c r="E475" s="33" t="s">
        <v>657</v>
      </c>
      <c r="F475" s="33" t="s">
        <v>492</v>
      </c>
      <c r="G475" s="33" t="s">
        <v>500</v>
      </c>
      <c r="H475" s="33" t="s">
        <v>500</v>
      </c>
      <c r="I475" s="46">
        <f>I476</f>
        <v>487.6</v>
      </c>
      <c r="J475" s="46">
        <f t="shared" si="208"/>
        <v>0</v>
      </c>
      <c r="K475" s="46">
        <f t="shared" si="208"/>
        <v>0</v>
      </c>
      <c r="L475" s="1"/>
    </row>
    <row r="476" spans="1:12" ht="51.75" customHeight="1" outlineLevel="2" x14ac:dyDescent="0.25">
      <c r="A476" s="18" t="s">
        <v>36</v>
      </c>
      <c r="B476" s="8"/>
      <c r="C476" s="8"/>
      <c r="D476" s="8"/>
      <c r="E476" s="33" t="s">
        <v>657</v>
      </c>
      <c r="F476" s="33">
        <v>600</v>
      </c>
      <c r="G476" s="33" t="s">
        <v>510</v>
      </c>
      <c r="H476" s="33" t="s">
        <v>505</v>
      </c>
      <c r="I476" s="46">
        <v>487.6</v>
      </c>
      <c r="J476" s="46">
        <v>0</v>
      </c>
      <c r="K476" s="46">
        <v>0</v>
      </c>
      <c r="L476" s="1"/>
    </row>
    <row r="477" spans="1:12" ht="18" customHeight="1" outlineLevel="5" x14ac:dyDescent="0.25">
      <c r="A477" s="32" t="s">
        <v>24</v>
      </c>
      <c r="B477" s="8"/>
      <c r="C477" s="8"/>
      <c r="D477" s="8"/>
      <c r="E477" s="8" t="s">
        <v>409</v>
      </c>
      <c r="F477" s="8" t="s">
        <v>492</v>
      </c>
      <c r="G477" s="8" t="s">
        <v>500</v>
      </c>
      <c r="H477" s="8" t="s">
        <v>500</v>
      </c>
      <c r="I477" s="45">
        <f>I478+I481+I486+I491</f>
        <v>118782.7741</v>
      </c>
      <c r="J477" s="45">
        <f t="shared" ref="J477:K477" si="209">J478+J481+J486+J491</f>
        <v>115881.40000000001</v>
      </c>
      <c r="K477" s="45">
        <f t="shared" si="209"/>
        <v>116099.90000000001</v>
      </c>
      <c r="L477" s="1"/>
    </row>
    <row r="478" spans="1:12" ht="93.75" customHeight="1" outlineLevel="6" x14ac:dyDescent="0.25">
      <c r="A478" s="18" t="s">
        <v>170</v>
      </c>
      <c r="B478" s="8"/>
      <c r="C478" s="8"/>
      <c r="D478" s="8"/>
      <c r="E478" s="19" t="s">
        <v>410</v>
      </c>
      <c r="F478" s="19" t="s">
        <v>492</v>
      </c>
      <c r="G478" s="19" t="s">
        <v>500</v>
      </c>
      <c r="H478" s="19" t="s">
        <v>500</v>
      </c>
      <c r="I478" s="46">
        <f>I479</f>
        <v>46663.050999999999</v>
      </c>
      <c r="J478" s="46">
        <f t="shared" ref="J478:K479" si="210">J479</f>
        <v>46374.6</v>
      </c>
      <c r="K478" s="46">
        <f t="shared" si="210"/>
        <v>46374.6</v>
      </c>
      <c r="L478" s="1"/>
    </row>
    <row r="479" spans="1:12" ht="63.75" customHeight="1" outlineLevel="2" x14ac:dyDescent="0.25">
      <c r="A479" s="18" t="s">
        <v>119</v>
      </c>
      <c r="B479" s="8"/>
      <c r="C479" s="8"/>
      <c r="D479" s="8"/>
      <c r="E479" s="19" t="s">
        <v>411</v>
      </c>
      <c r="F479" s="19" t="s">
        <v>492</v>
      </c>
      <c r="G479" s="19" t="s">
        <v>500</v>
      </c>
      <c r="H479" s="19" t="s">
        <v>500</v>
      </c>
      <c r="I479" s="46">
        <f>I480</f>
        <v>46663.050999999999</v>
      </c>
      <c r="J479" s="46">
        <f t="shared" si="210"/>
        <v>46374.6</v>
      </c>
      <c r="K479" s="46">
        <f t="shared" si="210"/>
        <v>46374.6</v>
      </c>
      <c r="L479" s="1"/>
    </row>
    <row r="480" spans="1:12" ht="50.25" customHeight="1" outlineLevel="3" x14ac:dyDescent="0.25">
      <c r="A480" s="18" t="s">
        <v>36</v>
      </c>
      <c r="B480" s="8"/>
      <c r="C480" s="8"/>
      <c r="D480" s="8"/>
      <c r="E480" s="19" t="s">
        <v>411</v>
      </c>
      <c r="F480" s="19" t="s">
        <v>497</v>
      </c>
      <c r="G480" s="19" t="s">
        <v>510</v>
      </c>
      <c r="H480" s="19" t="s">
        <v>505</v>
      </c>
      <c r="I480" s="46">
        <f>46374.6+182.75715+105.69385</f>
        <v>46663.050999999999</v>
      </c>
      <c r="J480" s="46">
        <v>46374.6</v>
      </c>
      <c r="K480" s="46">
        <v>46374.6</v>
      </c>
      <c r="L480" s="1"/>
    </row>
    <row r="481" spans="1:12" ht="97.5" customHeight="1" outlineLevel="6" x14ac:dyDescent="0.25">
      <c r="A481" s="18" t="s">
        <v>171</v>
      </c>
      <c r="B481" s="8"/>
      <c r="C481" s="8"/>
      <c r="D481" s="8"/>
      <c r="E481" s="19" t="s">
        <v>412</v>
      </c>
      <c r="F481" s="19" t="s">
        <v>492</v>
      </c>
      <c r="G481" s="19" t="s">
        <v>500</v>
      </c>
      <c r="H481" s="19" t="s">
        <v>500</v>
      </c>
      <c r="I481" s="46">
        <f>I482+I484</f>
        <v>23922.799999999999</v>
      </c>
      <c r="J481" s="46">
        <f t="shared" ref="J481:K481" si="211">J482+J484</f>
        <v>23778</v>
      </c>
      <c r="K481" s="46">
        <f t="shared" si="211"/>
        <v>23996.5</v>
      </c>
      <c r="L481" s="1"/>
    </row>
    <row r="482" spans="1:12" ht="173.25" customHeight="1" outlineLevel="2" x14ac:dyDescent="0.25">
      <c r="A482" s="18" t="s">
        <v>172</v>
      </c>
      <c r="B482" s="8"/>
      <c r="C482" s="8"/>
      <c r="D482" s="8"/>
      <c r="E482" s="19" t="s">
        <v>413</v>
      </c>
      <c r="F482" s="19" t="s">
        <v>492</v>
      </c>
      <c r="G482" s="19" t="s">
        <v>500</v>
      </c>
      <c r="H482" s="19" t="s">
        <v>500</v>
      </c>
      <c r="I482" s="46">
        <f>J482</f>
        <v>59.8</v>
      </c>
      <c r="J482" s="46">
        <f t="shared" ref="J482:K482" si="212">J483</f>
        <v>59.8</v>
      </c>
      <c r="K482" s="46">
        <f t="shared" si="212"/>
        <v>59.8</v>
      </c>
      <c r="L482" s="1"/>
    </row>
    <row r="483" spans="1:12" ht="51.75" customHeight="1" outlineLevel="3" x14ac:dyDescent="0.25">
      <c r="A483" s="18" t="s">
        <v>36</v>
      </c>
      <c r="B483" s="8"/>
      <c r="C483" s="8"/>
      <c r="D483" s="8"/>
      <c r="E483" s="19" t="s">
        <v>413</v>
      </c>
      <c r="F483" s="19" t="s">
        <v>497</v>
      </c>
      <c r="G483" s="19" t="s">
        <v>511</v>
      </c>
      <c r="H483" s="19" t="s">
        <v>503</v>
      </c>
      <c r="I483" s="46">
        <v>59.8</v>
      </c>
      <c r="J483" s="46">
        <v>59.8</v>
      </c>
      <c r="K483" s="46">
        <v>59.8</v>
      </c>
      <c r="L483" s="1"/>
    </row>
    <row r="484" spans="1:12" ht="47.25" outlineLevel="6" x14ac:dyDescent="0.25">
      <c r="A484" s="18" t="s">
        <v>173</v>
      </c>
      <c r="B484" s="8"/>
      <c r="C484" s="8"/>
      <c r="D484" s="8"/>
      <c r="E484" s="19" t="s">
        <v>414</v>
      </c>
      <c r="F484" s="19" t="s">
        <v>492</v>
      </c>
      <c r="G484" s="19" t="s">
        <v>500</v>
      </c>
      <c r="H484" s="19" t="s">
        <v>500</v>
      </c>
      <c r="I484" s="46">
        <f>I485</f>
        <v>23863</v>
      </c>
      <c r="J484" s="46">
        <f t="shared" ref="J484:K484" si="213">J485</f>
        <v>23718.2</v>
      </c>
      <c r="K484" s="46">
        <f t="shared" si="213"/>
        <v>23936.7</v>
      </c>
      <c r="L484" s="1"/>
    </row>
    <row r="485" spans="1:12" ht="51.75" customHeight="1" outlineLevel="2" x14ac:dyDescent="0.25">
      <c r="A485" s="18" t="s">
        <v>36</v>
      </c>
      <c r="B485" s="8"/>
      <c r="C485" s="8"/>
      <c r="D485" s="8"/>
      <c r="E485" s="19" t="s">
        <v>414</v>
      </c>
      <c r="F485" s="19" t="s">
        <v>497</v>
      </c>
      <c r="G485" s="19" t="s">
        <v>511</v>
      </c>
      <c r="H485" s="19" t="s">
        <v>503</v>
      </c>
      <c r="I485" s="46">
        <v>23863</v>
      </c>
      <c r="J485" s="46">
        <v>23718.2</v>
      </c>
      <c r="K485" s="46">
        <v>23936.7</v>
      </c>
      <c r="L485" s="1"/>
    </row>
    <row r="486" spans="1:12" ht="65.25" customHeight="1" outlineLevel="5" x14ac:dyDescent="0.25">
      <c r="A486" s="18" t="s">
        <v>174</v>
      </c>
      <c r="B486" s="8"/>
      <c r="C486" s="8"/>
      <c r="D486" s="8"/>
      <c r="E486" s="19" t="s">
        <v>415</v>
      </c>
      <c r="F486" s="19" t="s">
        <v>492</v>
      </c>
      <c r="G486" s="19" t="s">
        <v>500</v>
      </c>
      <c r="H486" s="19" t="s">
        <v>500</v>
      </c>
      <c r="I486" s="46">
        <f>I487+I489</f>
        <v>32040.799999999999</v>
      </c>
      <c r="J486" s="46">
        <f t="shared" ref="J486:K486" si="214">J487+J489</f>
        <v>31260</v>
      </c>
      <c r="K486" s="46">
        <f t="shared" si="214"/>
        <v>31260</v>
      </c>
      <c r="L486" s="1"/>
    </row>
    <row r="487" spans="1:12" ht="174" customHeight="1" outlineLevel="6" x14ac:dyDescent="0.25">
      <c r="A487" s="18" t="s">
        <v>172</v>
      </c>
      <c r="B487" s="8"/>
      <c r="C487" s="8"/>
      <c r="D487" s="8"/>
      <c r="E487" s="19" t="s">
        <v>416</v>
      </c>
      <c r="F487" s="19" t="s">
        <v>492</v>
      </c>
      <c r="G487" s="19" t="s">
        <v>500</v>
      </c>
      <c r="H487" s="19" t="s">
        <v>500</v>
      </c>
      <c r="I487" s="46">
        <f>I488</f>
        <v>248.5</v>
      </c>
      <c r="J487" s="46">
        <f t="shared" ref="J487:K487" si="215">J488</f>
        <v>248.5</v>
      </c>
      <c r="K487" s="46">
        <f t="shared" si="215"/>
        <v>248.5</v>
      </c>
      <c r="L487" s="1"/>
    </row>
    <row r="488" spans="1:12" ht="50.25" customHeight="1" outlineLevel="3" x14ac:dyDescent="0.25">
      <c r="A488" s="18" t="s">
        <v>36</v>
      </c>
      <c r="B488" s="8"/>
      <c r="C488" s="8"/>
      <c r="D488" s="8"/>
      <c r="E488" s="19" t="s">
        <v>416</v>
      </c>
      <c r="F488" s="19" t="s">
        <v>497</v>
      </c>
      <c r="G488" s="19" t="s">
        <v>511</v>
      </c>
      <c r="H488" s="19" t="s">
        <v>503</v>
      </c>
      <c r="I488" s="46">
        <v>248.5</v>
      </c>
      <c r="J488" s="46">
        <v>248.5</v>
      </c>
      <c r="K488" s="46">
        <v>248.5</v>
      </c>
      <c r="L488" s="1"/>
    </row>
    <row r="489" spans="1:12" ht="50.25" customHeight="1" outlineLevel="6" x14ac:dyDescent="0.25">
      <c r="A489" s="18" t="s">
        <v>175</v>
      </c>
      <c r="B489" s="8"/>
      <c r="C489" s="8"/>
      <c r="D489" s="8"/>
      <c r="E489" s="19" t="s">
        <v>417</v>
      </c>
      <c r="F489" s="19" t="s">
        <v>492</v>
      </c>
      <c r="G489" s="19" t="s">
        <v>500</v>
      </c>
      <c r="H489" s="19" t="s">
        <v>500</v>
      </c>
      <c r="I489" s="46">
        <f>I490</f>
        <v>31792.3</v>
      </c>
      <c r="J489" s="46">
        <f t="shared" ref="J489:K489" si="216">J490</f>
        <v>31011.5</v>
      </c>
      <c r="K489" s="46">
        <f t="shared" si="216"/>
        <v>31011.5</v>
      </c>
      <c r="L489" s="1"/>
    </row>
    <row r="490" spans="1:12" ht="48" customHeight="1" outlineLevel="1" x14ac:dyDescent="0.25">
      <c r="A490" s="18" t="s">
        <v>36</v>
      </c>
      <c r="B490" s="8"/>
      <c r="C490" s="8"/>
      <c r="D490" s="8"/>
      <c r="E490" s="19" t="s">
        <v>417</v>
      </c>
      <c r="F490" s="19" t="s">
        <v>497</v>
      </c>
      <c r="G490" s="19" t="s">
        <v>511</v>
      </c>
      <c r="H490" s="19" t="s">
        <v>503</v>
      </c>
      <c r="I490" s="46">
        <f>31011.5-170.2+354+597</f>
        <v>31792.3</v>
      </c>
      <c r="J490" s="46">
        <v>31011.5</v>
      </c>
      <c r="K490" s="46">
        <v>31011.5</v>
      </c>
      <c r="L490" s="1"/>
    </row>
    <row r="491" spans="1:12" ht="49.5" customHeight="1" outlineLevel="4" x14ac:dyDescent="0.25">
      <c r="A491" s="18" t="s">
        <v>25</v>
      </c>
      <c r="B491" s="8"/>
      <c r="C491" s="8"/>
      <c r="D491" s="8"/>
      <c r="E491" s="19" t="s">
        <v>418</v>
      </c>
      <c r="F491" s="19" t="s">
        <v>492</v>
      </c>
      <c r="G491" s="19" t="s">
        <v>500</v>
      </c>
      <c r="H491" s="19" t="s">
        <v>500</v>
      </c>
      <c r="I491" s="46">
        <f>I492+I495+I497+I499+I501</f>
        <v>16156.123100000001</v>
      </c>
      <c r="J491" s="46">
        <f t="shared" ref="J491:K491" si="217">J492+J495+J497+J499+J501</f>
        <v>14468.8</v>
      </c>
      <c r="K491" s="46">
        <f t="shared" si="217"/>
        <v>14468.8</v>
      </c>
      <c r="L491" s="1"/>
    </row>
    <row r="492" spans="1:12" ht="47.25" customHeight="1" outlineLevel="5" x14ac:dyDescent="0.25">
      <c r="A492" s="18" t="s">
        <v>26</v>
      </c>
      <c r="B492" s="8"/>
      <c r="C492" s="8"/>
      <c r="D492" s="8"/>
      <c r="E492" s="19" t="s">
        <v>419</v>
      </c>
      <c r="F492" s="19" t="s">
        <v>492</v>
      </c>
      <c r="G492" s="19" t="s">
        <v>500</v>
      </c>
      <c r="H492" s="19" t="s">
        <v>500</v>
      </c>
      <c r="I492" s="46">
        <f>I493+I494</f>
        <v>8651.5</v>
      </c>
      <c r="J492" s="46">
        <f t="shared" ref="J492:K492" si="218">J493+J494</f>
        <v>7376.1</v>
      </c>
      <c r="K492" s="46">
        <f t="shared" si="218"/>
        <v>7376.1</v>
      </c>
      <c r="L492" s="1"/>
    </row>
    <row r="493" spans="1:12" ht="113.25" customHeight="1" outlineLevel="6" x14ac:dyDescent="0.25">
      <c r="A493" s="18" t="s">
        <v>27</v>
      </c>
      <c r="B493" s="8"/>
      <c r="C493" s="8"/>
      <c r="D493" s="8"/>
      <c r="E493" s="19" t="s">
        <v>419</v>
      </c>
      <c r="F493" s="19" t="s">
        <v>494</v>
      </c>
      <c r="G493" s="19" t="s">
        <v>511</v>
      </c>
      <c r="H493" s="19" t="s">
        <v>506</v>
      </c>
      <c r="I493" s="46">
        <f>7330.3+433.0715+722.8285+119.5</f>
        <v>8605.7000000000007</v>
      </c>
      <c r="J493" s="46">
        <v>7330.3</v>
      </c>
      <c r="K493" s="46">
        <v>7330.3</v>
      </c>
      <c r="L493" s="1"/>
    </row>
    <row r="494" spans="1:12" ht="48" customHeight="1" outlineLevel="4" x14ac:dyDescent="0.25">
      <c r="A494" s="18" t="s">
        <v>30</v>
      </c>
      <c r="B494" s="8"/>
      <c r="C494" s="8"/>
      <c r="D494" s="8"/>
      <c r="E494" s="19" t="s">
        <v>419</v>
      </c>
      <c r="F494" s="19" t="s">
        <v>495</v>
      </c>
      <c r="G494" s="19" t="s">
        <v>511</v>
      </c>
      <c r="H494" s="19" t="s">
        <v>506</v>
      </c>
      <c r="I494" s="46">
        <v>45.8</v>
      </c>
      <c r="J494" s="46">
        <v>45.8</v>
      </c>
      <c r="K494" s="46">
        <v>45.8</v>
      </c>
      <c r="L494" s="1"/>
    </row>
    <row r="495" spans="1:12" ht="31.5" outlineLevel="4" x14ac:dyDescent="0.25">
      <c r="A495" s="18" t="s">
        <v>176</v>
      </c>
      <c r="B495" s="8"/>
      <c r="C495" s="8"/>
      <c r="D495" s="8"/>
      <c r="E495" s="19" t="s">
        <v>420</v>
      </c>
      <c r="F495" s="19" t="s">
        <v>492</v>
      </c>
      <c r="G495" s="19" t="s">
        <v>500</v>
      </c>
      <c r="H495" s="19" t="s">
        <v>500</v>
      </c>
      <c r="I495" s="46">
        <f>I496</f>
        <v>260</v>
      </c>
      <c r="J495" s="46">
        <f t="shared" ref="J495:K495" si="219">J496</f>
        <v>260</v>
      </c>
      <c r="K495" s="46">
        <f t="shared" si="219"/>
        <v>260</v>
      </c>
      <c r="L495" s="1"/>
    </row>
    <row r="496" spans="1:12" ht="31.5" outlineLevel="5" x14ac:dyDescent="0.25">
      <c r="A496" s="18" t="s">
        <v>45</v>
      </c>
      <c r="B496" s="8"/>
      <c r="C496" s="8"/>
      <c r="D496" s="8"/>
      <c r="E496" s="19" t="s">
        <v>420</v>
      </c>
      <c r="F496" s="19" t="s">
        <v>498</v>
      </c>
      <c r="G496" s="19" t="s">
        <v>511</v>
      </c>
      <c r="H496" s="19" t="s">
        <v>506</v>
      </c>
      <c r="I496" s="46">
        <v>260</v>
      </c>
      <c r="J496" s="46">
        <v>260</v>
      </c>
      <c r="K496" s="46">
        <v>260</v>
      </c>
      <c r="L496" s="1"/>
    </row>
    <row r="497" spans="1:12" ht="63" outlineLevel="4" x14ac:dyDescent="0.25">
      <c r="A497" s="18" t="s">
        <v>177</v>
      </c>
      <c r="B497" s="8"/>
      <c r="C497" s="8"/>
      <c r="D497" s="8"/>
      <c r="E497" s="19" t="s">
        <v>421</v>
      </c>
      <c r="F497" s="19" t="s">
        <v>492</v>
      </c>
      <c r="G497" s="19" t="s">
        <v>500</v>
      </c>
      <c r="H497" s="19" t="s">
        <v>500</v>
      </c>
      <c r="I497" s="46">
        <f>I498</f>
        <v>550</v>
      </c>
      <c r="J497" s="46">
        <f t="shared" ref="J497:K497" si="220">J498</f>
        <v>550</v>
      </c>
      <c r="K497" s="46">
        <f t="shared" si="220"/>
        <v>550</v>
      </c>
      <c r="L497" s="1"/>
    </row>
    <row r="498" spans="1:12" ht="31.5" outlineLevel="5" x14ac:dyDescent="0.25">
      <c r="A498" s="18" t="s">
        <v>45</v>
      </c>
      <c r="B498" s="8"/>
      <c r="C498" s="8"/>
      <c r="D498" s="8"/>
      <c r="E498" s="19" t="s">
        <v>421</v>
      </c>
      <c r="F498" s="19" t="s">
        <v>498</v>
      </c>
      <c r="G498" s="19" t="s">
        <v>511</v>
      </c>
      <c r="H498" s="19" t="s">
        <v>506</v>
      </c>
      <c r="I498" s="46">
        <v>550</v>
      </c>
      <c r="J498" s="46">
        <v>550</v>
      </c>
      <c r="K498" s="46">
        <v>550</v>
      </c>
      <c r="L498" s="1"/>
    </row>
    <row r="499" spans="1:12" ht="177" customHeight="1" outlineLevel="4" x14ac:dyDescent="0.25">
      <c r="A499" s="18" t="s">
        <v>172</v>
      </c>
      <c r="B499" s="8"/>
      <c r="C499" s="8"/>
      <c r="D499" s="8"/>
      <c r="E499" s="19" t="s">
        <v>422</v>
      </c>
      <c r="F499" s="19" t="s">
        <v>492</v>
      </c>
      <c r="G499" s="19" t="s">
        <v>500</v>
      </c>
      <c r="H499" s="19" t="s">
        <v>500</v>
      </c>
      <c r="I499" s="46">
        <f>I500</f>
        <v>76.5</v>
      </c>
      <c r="J499" s="46">
        <f t="shared" ref="J499:K499" si="221">J500</f>
        <v>76.5</v>
      </c>
      <c r="K499" s="46">
        <f t="shared" si="221"/>
        <v>76.5</v>
      </c>
      <c r="L499" s="1"/>
    </row>
    <row r="500" spans="1:12" ht="34.5" customHeight="1" outlineLevel="5" x14ac:dyDescent="0.25">
      <c r="A500" s="18" t="s">
        <v>45</v>
      </c>
      <c r="B500" s="8"/>
      <c r="C500" s="8"/>
      <c r="D500" s="8"/>
      <c r="E500" s="19" t="s">
        <v>422</v>
      </c>
      <c r="F500" s="19" t="s">
        <v>498</v>
      </c>
      <c r="G500" s="19" t="s">
        <v>508</v>
      </c>
      <c r="H500" s="19" t="s">
        <v>505</v>
      </c>
      <c r="I500" s="46">
        <v>76.5</v>
      </c>
      <c r="J500" s="46">
        <v>76.5</v>
      </c>
      <c r="K500" s="46">
        <v>76.5</v>
      </c>
      <c r="L500" s="1"/>
    </row>
    <row r="501" spans="1:12" ht="49.5" customHeight="1" outlineLevel="4" x14ac:dyDescent="0.25">
      <c r="A501" s="18" t="s">
        <v>31</v>
      </c>
      <c r="B501" s="8"/>
      <c r="C501" s="8"/>
      <c r="D501" s="8"/>
      <c r="E501" s="19" t="s">
        <v>423</v>
      </c>
      <c r="F501" s="19" t="s">
        <v>492</v>
      </c>
      <c r="G501" s="19" t="s">
        <v>500</v>
      </c>
      <c r="H501" s="19" t="s">
        <v>500</v>
      </c>
      <c r="I501" s="46">
        <f>I502+I503</f>
        <v>6618.1230999999998</v>
      </c>
      <c r="J501" s="46">
        <f t="shared" ref="J501:K501" si="222">J502+J503</f>
        <v>6206.2</v>
      </c>
      <c r="K501" s="46">
        <f t="shared" si="222"/>
        <v>6206.2</v>
      </c>
      <c r="L501" s="1"/>
    </row>
    <row r="502" spans="1:12" ht="111.75" customHeight="1" outlineLevel="5" x14ac:dyDescent="0.25">
      <c r="A502" s="18" t="s">
        <v>27</v>
      </c>
      <c r="B502" s="8"/>
      <c r="C502" s="8"/>
      <c r="D502" s="8"/>
      <c r="E502" s="19" t="s">
        <v>423</v>
      </c>
      <c r="F502" s="19" t="s">
        <v>494</v>
      </c>
      <c r="G502" s="19" t="s">
        <v>511</v>
      </c>
      <c r="H502" s="19" t="s">
        <v>506</v>
      </c>
      <c r="I502" s="46">
        <f>5718.9+567.52785+88.39525</f>
        <v>6374.8230999999996</v>
      </c>
      <c r="J502" s="46">
        <v>5718.9</v>
      </c>
      <c r="K502" s="46">
        <v>5718.9</v>
      </c>
      <c r="L502" s="1"/>
    </row>
    <row r="503" spans="1:12" ht="47.25" outlineLevel="5" x14ac:dyDescent="0.25">
      <c r="A503" s="18" t="s">
        <v>30</v>
      </c>
      <c r="B503" s="8"/>
      <c r="C503" s="8"/>
      <c r="D503" s="8"/>
      <c r="E503" s="19" t="s">
        <v>423</v>
      </c>
      <c r="F503" s="19" t="s">
        <v>495</v>
      </c>
      <c r="G503" s="19" t="s">
        <v>511</v>
      </c>
      <c r="H503" s="19" t="s">
        <v>506</v>
      </c>
      <c r="I503" s="46">
        <f>487.3-244</f>
        <v>243.3</v>
      </c>
      <c r="J503" s="46">
        <v>487.3</v>
      </c>
      <c r="K503" s="46">
        <v>487.3</v>
      </c>
      <c r="L503" s="1"/>
    </row>
    <row r="504" spans="1:12" ht="47.25" outlineLevel="3" x14ac:dyDescent="0.25">
      <c r="A504" s="29" t="s">
        <v>178</v>
      </c>
      <c r="B504" s="30"/>
      <c r="C504" s="30"/>
      <c r="D504" s="30"/>
      <c r="E504" s="31" t="s">
        <v>424</v>
      </c>
      <c r="F504" s="31" t="s">
        <v>492</v>
      </c>
      <c r="G504" s="31" t="s">
        <v>500</v>
      </c>
      <c r="H504" s="31" t="s">
        <v>500</v>
      </c>
      <c r="I504" s="44">
        <f>I518+I509+I505</f>
        <v>148868.24288000001</v>
      </c>
      <c r="J504" s="44">
        <f>J518+J509</f>
        <v>111854.57399999998</v>
      </c>
      <c r="K504" s="44">
        <f>K518+K509</f>
        <v>112806.095</v>
      </c>
      <c r="L504" s="1"/>
    </row>
    <row r="505" spans="1:12" ht="78.75" hidden="1" outlineLevel="3" x14ac:dyDescent="0.25">
      <c r="A505" s="18" t="s">
        <v>577</v>
      </c>
      <c r="B505" s="8"/>
      <c r="C505" s="8"/>
      <c r="D505" s="8"/>
      <c r="E505" s="8">
        <v>1010000000</v>
      </c>
      <c r="F505" s="8" t="s">
        <v>492</v>
      </c>
      <c r="G505" s="8" t="s">
        <v>500</v>
      </c>
      <c r="H505" s="8" t="s">
        <v>500</v>
      </c>
      <c r="I505" s="45">
        <f>I506</f>
        <v>0</v>
      </c>
      <c r="J505" s="45">
        <f t="shared" ref="J505:K507" si="223">J506</f>
        <v>0</v>
      </c>
      <c r="K505" s="45">
        <f t="shared" si="223"/>
        <v>0</v>
      </c>
      <c r="L505" s="1"/>
    </row>
    <row r="506" spans="1:12" ht="51.75" hidden="1" customHeight="1" outlineLevel="3" x14ac:dyDescent="0.25">
      <c r="A506" s="18" t="s">
        <v>618</v>
      </c>
      <c r="B506" s="30"/>
      <c r="C506" s="30"/>
      <c r="D506" s="30"/>
      <c r="E506" s="19" t="s">
        <v>616</v>
      </c>
      <c r="F506" s="19" t="s">
        <v>492</v>
      </c>
      <c r="G506" s="19" t="s">
        <v>500</v>
      </c>
      <c r="H506" s="19" t="s">
        <v>500</v>
      </c>
      <c r="I506" s="46">
        <f>I507</f>
        <v>0</v>
      </c>
      <c r="J506" s="46">
        <f t="shared" si="223"/>
        <v>0</v>
      </c>
      <c r="K506" s="46">
        <f t="shared" si="223"/>
        <v>0</v>
      </c>
      <c r="L506" s="1"/>
    </row>
    <row r="507" spans="1:12" ht="63" hidden="1" outlineLevel="3" x14ac:dyDescent="0.25">
      <c r="A507" s="18" t="s">
        <v>619</v>
      </c>
      <c r="B507" s="30"/>
      <c r="C507" s="30"/>
      <c r="D507" s="30"/>
      <c r="E507" s="19" t="s">
        <v>617</v>
      </c>
      <c r="F507" s="19" t="s">
        <v>492</v>
      </c>
      <c r="G507" s="19" t="s">
        <v>500</v>
      </c>
      <c r="H507" s="19" t="s">
        <v>500</v>
      </c>
      <c r="I507" s="46">
        <f>I508</f>
        <v>0</v>
      </c>
      <c r="J507" s="46">
        <f t="shared" si="223"/>
        <v>0</v>
      </c>
      <c r="K507" s="46">
        <f t="shared" si="223"/>
        <v>0</v>
      </c>
      <c r="L507" s="1"/>
    </row>
    <row r="508" spans="1:12" ht="49.5" hidden="1" customHeight="1" outlineLevel="3" x14ac:dyDescent="0.25">
      <c r="A508" s="18" t="s">
        <v>36</v>
      </c>
      <c r="B508" s="8"/>
      <c r="C508" s="8"/>
      <c r="D508" s="8"/>
      <c r="E508" s="19" t="s">
        <v>617</v>
      </c>
      <c r="F508" s="19">
        <v>600</v>
      </c>
      <c r="G508" s="33" t="s">
        <v>506</v>
      </c>
      <c r="H508" s="19">
        <v>12</v>
      </c>
      <c r="I508" s="46">
        <f>247818.46939-247818.46939</f>
        <v>0</v>
      </c>
      <c r="J508" s="46">
        <v>0</v>
      </c>
      <c r="K508" s="46">
        <v>0</v>
      </c>
      <c r="L508" s="1"/>
    </row>
    <row r="509" spans="1:12" ht="47.25" outlineLevel="3" x14ac:dyDescent="0.25">
      <c r="A509" s="32" t="s">
        <v>523</v>
      </c>
      <c r="B509" s="30"/>
      <c r="C509" s="30"/>
      <c r="D509" s="30"/>
      <c r="E509" s="8" t="s">
        <v>527</v>
      </c>
      <c r="F509" s="8" t="s">
        <v>492</v>
      </c>
      <c r="G509" s="8" t="s">
        <v>500</v>
      </c>
      <c r="H509" s="8" t="s">
        <v>500</v>
      </c>
      <c r="I509" s="45">
        <f>I510+I515</f>
        <v>11267.483</v>
      </c>
      <c r="J509" s="45">
        <f t="shared" ref="J509:K511" si="224">J510</f>
        <v>1082.874</v>
      </c>
      <c r="K509" s="45">
        <f t="shared" si="224"/>
        <v>1129.1949999999999</v>
      </c>
      <c r="L509" s="1"/>
    </row>
    <row r="510" spans="1:12" ht="114" customHeight="1" outlineLevel="3" x14ac:dyDescent="0.25">
      <c r="A510" s="18" t="s">
        <v>524</v>
      </c>
      <c r="B510" s="30"/>
      <c r="C510" s="30"/>
      <c r="D510" s="30"/>
      <c r="E510" s="19" t="s">
        <v>528</v>
      </c>
      <c r="F510" s="19" t="s">
        <v>492</v>
      </c>
      <c r="G510" s="19" t="s">
        <v>500</v>
      </c>
      <c r="H510" s="19" t="s">
        <v>500</v>
      </c>
      <c r="I510" s="46">
        <f>I511+I513</f>
        <v>1267.4829999999999</v>
      </c>
      <c r="J510" s="46">
        <f>J511+J513</f>
        <v>1082.874</v>
      </c>
      <c r="K510" s="46">
        <f>K511+K513</f>
        <v>1129.1949999999999</v>
      </c>
      <c r="L510" s="1"/>
    </row>
    <row r="511" spans="1:12" ht="50.25" customHeight="1" outlineLevel="3" x14ac:dyDescent="0.25">
      <c r="A511" s="18" t="s">
        <v>525</v>
      </c>
      <c r="B511" s="30"/>
      <c r="C511" s="30"/>
      <c r="D511" s="30"/>
      <c r="E511" s="19" t="s">
        <v>529</v>
      </c>
      <c r="F511" s="19" t="s">
        <v>492</v>
      </c>
      <c r="G511" s="19" t="s">
        <v>500</v>
      </c>
      <c r="H511" s="19" t="s">
        <v>500</v>
      </c>
      <c r="I511" s="46">
        <f>I512</f>
        <v>1102.0999999999999</v>
      </c>
      <c r="J511" s="46">
        <f t="shared" si="224"/>
        <v>942.1</v>
      </c>
      <c r="K511" s="46">
        <f t="shared" si="224"/>
        <v>982.4</v>
      </c>
      <c r="L511" s="1"/>
    </row>
    <row r="512" spans="1:12" ht="49.5" customHeight="1" outlineLevel="3" x14ac:dyDescent="0.25">
      <c r="A512" s="18" t="s">
        <v>526</v>
      </c>
      <c r="B512" s="30"/>
      <c r="C512" s="30"/>
      <c r="D512" s="30"/>
      <c r="E512" s="19" t="s">
        <v>529</v>
      </c>
      <c r="F512" s="19">
        <v>200</v>
      </c>
      <c r="G512" s="33" t="s">
        <v>506</v>
      </c>
      <c r="H512" s="19">
        <v>12</v>
      </c>
      <c r="I512" s="46">
        <f>752.1+350</f>
        <v>1102.0999999999999</v>
      </c>
      <c r="J512" s="46">
        <v>942.1</v>
      </c>
      <c r="K512" s="46">
        <v>982.4</v>
      </c>
      <c r="L512" s="1"/>
    </row>
    <row r="513" spans="1:12" ht="49.5" customHeight="1" outlineLevel="3" x14ac:dyDescent="0.25">
      <c r="A513" s="18" t="s">
        <v>525</v>
      </c>
      <c r="B513" s="30"/>
      <c r="C513" s="30"/>
      <c r="D513" s="30"/>
      <c r="E513" s="19" t="s">
        <v>549</v>
      </c>
      <c r="F513" s="19" t="s">
        <v>492</v>
      </c>
      <c r="G513" s="19" t="s">
        <v>500</v>
      </c>
      <c r="H513" s="19" t="s">
        <v>500</v>
      </c>
      <c r="I513" s="46">
        <f>I514</f>
        <v>165.38299999999998</v>
      </c>
      <c r="J513" s="46">
        <f t="shared" ref="J513:K513" si="225">J514</f>
        <v>140.774</v>
      </c>
      <c r="K513" s="46">
        <f t="shared" si="225"/>
        <v>146.79499999999999</v>
      </c>
      <c r="L513" s="1"/>
    </row>
    <row r="514" spans="1:12" ht="49.5" customHeight="1" outlineLevel="3" x14ac:dyDescent="0.25">
      <c r="A514" s="18" t="s">
        <v>526</v>
      </c>
      <c r="B514" s="30"/>
      <c r="C514" s="30"/>
      <c r="D514" s="30"/>
      <c r="E514" s="19" t="s">
        <v>549</v>
      </c>
      <c r="F514" s="19">
        <v>200</v>
      </c>
      <c r="G514" s="33" t="s">
        <v>506</v>
      </c>
      <c r="H514" s="19">
        <v>12</v>
      </c>
      <c r="I514" s="46">
        <f>112.383+53</f>
        <v>165.38299999999998</v>
      </c>
      <c r="J514" s="46">
        <v>140.774</v>
      </c>
      <c r="K514" s="46">
        <v>146.79499999999999</v>
      </c>
      <c r="L514" s="1"/>
    </row>
    <row r="515" spans="1:12" ht="49.5" customHeight="1" outlineLevel="3" x14ac:dyDescent="0.25">
      <c r="A515" s="18" t="s">
        <v>681</v>
      </c>
      <c r="B515" s="30"/>
      <c r="C515" s="30"/>
      <c r="D515" s="30"/>
      <c r="E515" s="43">
        <v>1020200000</v>
      </c>
      <c r="F515" s="43" t="s">
        <v>492</v>
      </c>
      <c r="G515" s="43" t="s">
        <v>500</v>
      </c>
      <c r="H515" s="43" t="s">
        <v>500</v>
      </c>
      <c r="I515" s="46">
        <f>I516</f>
        <v>10000</v>
      </c>
      <c r="J515" s="46">
        <f t="shared" ref="J515:K516" si="226">J516</f>
        <v>0</v>
      </c>
      <c r="K515" s="46">
        <f t="shared" si="226"/>
        <v>0</v>
      </c>
      <c r="L515" s="1"/>
    </row>
    <row r="516" spans="1:12" ht="49.5" customHeight="1" outlineLevel="3" x14ac:dyDescent="0.25">
      <c r="A516" s="18" t="s">
        <v>682</v>
      </c>
      <c r="B516" s="30"/>
      <c r="C516" s="30"/>
      <c r="D516" s="30"/>
      <c r="E516" s="43">
        <v>1020271990</v>
      </c>
      <c r="F516" s="43" t="s">
        <v>492</v>
      </c>
      <c r="G516" s="43" t="s">
        <v>500</v>
      </c>
      <c r="H516" s="43" t="s">
        <v>500</v>
      </c>
      <c r="I516" s="46">
        <f>I517</f>
        <v>10000</v>
      </c>
      <c r="J516" s="46">
        <f t="shared" si="226"/>
        <v>0</v>
      </c>
      <c r="K516" s="46">
        <f t="shared" si="226"/>
        <v>0</v>
      </c>
      <c r="L516" s="1"/>
    </row>
    <row r="517" spans="1:12" ht="49.5" customHeight="1" outlineLevel="3" x14ac:dyDescent="0.25">
      <c r="A517" s="18" t="s">
        <v>36</v>
      </c>
      <c r="B517" s="30"/>
      <c r="C517" s="30"/>
      <c r="D517" s="30"/>
      <c r="E517" s="43">
        <v>1020271990</v>
      </c>
      <c r="F517" s="43">
        <v>600</v>
      </c>
      <c r="G517" s="33" t="s">
        <v>506</v>
      </c>
      <c r="H517" s="33">
        <v>12</v>
      </c>
      <c r="I517" s="46">
        <f>16300-6300</f>
        <v>10000</v>
      </c>
      <c r="J517" s="46">
        <v>0</v>
      </c>
      <c r="K517" s="46">
        <v>0</v>
      </c>
      <c r="L517" s="1"/>
    </row>
    <row r="518" spans="1:12" ht="18.75" customHeight="1" outlineLevel="4" x14ac:dyDescent="0.25">
      <c r="A518" s="32" t="s">
        <v>24</v>
      </c>
      <c r="B518" s="8"/>
      <c r="C518" s="8"/>
      <c r="D518" s="8"/>
      <c r="E518" s="8" t="s">
        <v>425</v>
      </c>
      <c r="F518" s="8" t="s">
        <v>492</v>
      </c>
      <c r="G518" s="8" t="s">
        <v>500</v>
      </c>
      <c r="H518" s="8" t="s">
        <v>500</v>
      </c>
      <c r="I518" s="45">
        <f>I519+I524+I536+I540+I543+I556+I559</f>
        <v>137600.75988</v>
      </c>
      <c r="J518" s="45">
        <f t="shared" ref="J518:K518" si="227">J519+J524+J536+J540+J543+J556+J559</f>
        <v>110771.69999999998</v>
      </c>
      <c r="K518" s="45">
        <f t="shared" si="227"/>
        <v>111676.9</v>
      </c>
      <c r="L518" s="1"/>
    </row>
    <row r="519" spans="1:12" ht="32.25" customHeight="1" outlineLevel="5" x14ac:dyDescent="0.25">
      <c r="A519" s="18" t="s">
        <v>179</v>
      </c>
      <c r="B519" s="8"/>
      <c r="C519" s="8"/>
      <c r="D519" s="8"/>
      <c r="E519" s="19" t="s">
        <v>426</v>
      </c>
      <c r="F519" s="19" t="s">
        <v>492</v>
      </c>
      <c r="G519" s="19" t="s">
        <v>500</v>
      </c>
      <c r="H519" s="19" t="s">
        <v>500</v>
      </c>
      <c r="I519" s="46">
        <f>I520+I522</f>
        <v>48035.762860000003</v>
      </c>
      <c r="J519" s="46">
        <f t="shared" ref="J519:K519" si="228">J520+J522</f>
        <v>35546</v>
      </c>
      <c r="K519" s="46">
        <f t="shared" si="228"/>
        <v>36231.199999999997</v>
      </c>
      <c r="L519" s="1"/>
    </row>
    <row r="520" spans="1:12" ht="47.25" outlineLevel="6" x14ac:dyDescent="0.25">
      <c r="A520" s="18" t="s">
        <v>26</v>
      </c>
      <c r="B520" s="8"/>
      <c r="C520" s="8"/>
      <c r="D520" s="8"/>
      <c r="E520" s="19" t="s">
        <v>427</v>
      </c>
      <c r="F520" s="19" t="s">
        <v>492</v>
      </c>
      <c r="G520" s="19" t="s">
        <v>500</v>
      </c>
      <c r="H520" s="19" t="s">
        <v>500</v>
      </c>
      <c r="I520" s="46">
        <f>I521</f>
        <v>46263.162860000004</v>
      </c>
      <c r="J520" s="46">
        <f t="shared" ref="J520:K520" si="229">J521</f>
        <v>33773.4</v>
      </c>
      <c r="K520" s="46">
        <f t="shared" si="229"/>
        <v>34458.6</v>
      </c>
      <c r="L520" s="1"/>
    </row>
    <row r="521" spans="1:12" ht="111" customHeight="1" outlineLevel="3" x14ac:dyDescent="0.25">
      <c r="A521" s="18" t="s">
        <v>27</v>
      </c>
      <c r="B521" s="8"/>
      <c r="C521" s="8"/>
      <c r="D521" s="8"/>
      <c r="E521" s="19" t="s">
        <v>427</v>
      </c>
      <c r="F521" s="19" t="s">
        <v>494</v>
      </c>
      <c r="G521" s="19" t="s">
        <v>503</v>
      </c>
      <c r="H521" s="19" t="s">
        <v>506</v>
      </c>
      <c r="I521" s="46">
        <f>38419.6+1336.2274+5970.0325-3732.72618+4355.92618-85.89704</f>
        <v>46263.162860000004</v>
      </c>
      <c r="J521" s="46">
        <f>38419.6-4646.2</f>
        <v>33773.4</v>
      </c>
      <c r="K521" s="46">
        <f>38419.6-3961</f>
        <v>34458.6</v>
      </c>
      <c r="L521" s="1"/>
    </row>
    <row r="522" spans="1:12" ht="47.25" outlineLevel="6" x14ac:dyDescent="0.25">
      <c r="A522" s="18" t="s">
        <v>180</v>
      </c>
      <c r="B522" s="8"/>
      <c r="C522" s="8"/>
      <c r="D522" s="8"/>
      <c r="E522" s="19" t="s">
        <v>428</v>
      </c>
      <c r="F522" s="19" t="s">
        <v>492</v>
      </c>
      <c r="G522" s="19" t="s">
        <v>500</v>
      </c>
      <c r="H522" s="19" t="s">
        <v>500</v>
      </c>
      <c r="I522" s="46">
        <f>I523</f>
        <v>1772.6</v>
      </c>
      <c r="J522" s="46">
        <f t="shared" ref="J522:K522" si="230">J523</f>
        <v>1772.6</v>
      </c>
      <c r="K522" s="46">
        <f t="shared" si="230"/>
        <v>1772.6</v>
      </c>
      <c r="L522" s="1"/>
    </row>
    <row r="523" spans="1:12" ht="113.25" customHeight="1" outlineLevel="2" x14ac:dyDescent="0.25">
      <c r="A523" s="18" t="s">
        <v>27</v>
      </c>
      <c r="B523" s="8"/>
      <c r="C523" s="8"/>
      <c r="D523" s="8"/>
      <c r="E523" s="19" t="s">
        <v>428</v>
      </c>
      <c r="F523" s="19" t="s">
        <v>494</v>
      </c>
      <c r="G523" s="19" t="s">
        <v>503</v>
      </c>
      <c r="H523" s="19" t="s">
        <v>502</v>
      </c>
      <c r="I523" s="46">
        <v>1772.6</v>
      </c>
      <c r="J523" s="46">
        <v>1772.6</v>
      </c>
      <c r="K523" s="46">
        <v>1772.6</v>
      </c>
      <c r="L523" s="1"/>
    </row>
    <row r="524" spans="1:12" ht="94.5" outlineLevel="5" x14ac:dyDescent="0.25">
      <c r="A524" s="18" t="s">
        <v>181</v>
      </c>
      <c r="B524" s="8"/>
      <c r="C524" s="8"/>
      <c r="D524" s="8"/>
      <c r="E524" s="19" t="s">
        <v>429</v>
      </c>
      <c r="F524" s="19" t="s">
        <v>492</v>
      </c>
      <c r="G524" s="19" t="s">
        <v>500</v>
      </c>
      <c r="H524" s="19" t="s">
        <v>500</v>
      </c>
      <c r="I524" s="46">
        <f>I525+I527+I530+I533</f>
        <v>9861.9000000000015</v>
      </c>
      <c r="J524" s="46">
        <f t="shared" ref="J524:K524" si="231">J525+J527+J530+J533</f>
        <v>9740.5</v>
      </c>
      <c r="K524" s="46">
        <f t="shared" si="231"/>
        <v>9960.5</v>
      </c>
      <c r="L524" s="1"/>
    </row>
    <row r="525" spans="1:12" ht="78.75" outlineLevel="6" x14ac:dyDescent="0.25">
      <c r="A525" s="18" t="s">
        <v>182</v>
      </c>
      <c r="B525" s="8"/>
      <c r="C525" s="8"/>
      <c r="D525" s="8"/>
      <c r="E525" s="19" t="s">
        <v>430</v>
      </c>
      <c r="F525" s="19" t="s">
        <v>492</v>
      </c>
      <c r="G525" s="19" t="s">
        <v>500</v>
      </c>
      <c r="H525" s="19" t="s">
        <v>500</v>
      </c>
      <c r="I525" s="46">
        <f>I526</f>
        <v>2.2000000000000002</v>
      </c>
      <c r="J525" s="46">
        <f t="shared" ref="J525:K525" si="232">J526</f>
        <v>2.2000000000000002</v>
      </c>
      <c r="K525" s="46">
        <f t="shared" si="232"/>
        <v>2.2000000000000002</v>
      </c>
      <c r="L525" s="1"/>
    </row>
    <row r="526" spans="1:12" ht="47.25" outlineLevel="3" x14ac:dyDescent="0.25">
      <c r="A526" s="18" t="s">
        <v>30</v>
      </c>
      <c r="B526" s="8"/>
      <c r="C526" s="8"/>
      <c r="D526" s="8"/>
      <c r="E526" s="19" t="s">
        <v>430</v>
      </c>
      <c r="F526" s="19" t="s">
        <v>495</v>
      </c>
      <c r="G526" s="19" t="s">
        <v>503</v>
      </c>
      <c r="H526" s="19" t="s">
        <v>501</v>
      </c>
      <c r="I526" s="46">
        <v>2.2000000000000002</v>
      </c>
      <c r="J526" s="46">
        <v>2.2000000000000002</v>
      </c>
      <c r="K526" s="46">
        <v>2.2000000000000002</v>
      </c>
      <c r="L526" s="1"/>
    </row>
    <row r="527" spans="1:12" ht="63" outlineLevel="6" x14ac:dyDescent="0.25">
      <c r="A527" s="18" t="s">
        <v>183</v>
      </c>
      <c r="B527" s="8"/>
      <c r="C527" s="8"/>
      <c r="D527" s="8"/>
      <c r="E527" s="19" t="s">
        <v>431</v>
      </c>
      <c r="F527" s="19" t="s">
        <v>492</v>
      </c>
      <c r="G527" s="19" t="s">
        <v>500</v>
      </c>
      <c r="H527" s="19" t="s">
        <v>500</v>
      </c>
      <c r="I527" s="46">
        <f>I528+I529</f>
        <v>6850.3</v>
      </c>
      <c r="J527" s="46">
        <f t="shared" ref="J527:K527" si="233">J528+J529</f>
        <v>6847</v>
      </c>
      <c r="K527" s="46">
        <f t="shared" si="233"/>
        <v>7067</v>
      </c>
      <c r="L527" s="1"/>
    </row>
    <row r="528" spans="1:12" ht="109.5" customHeight="1" outlineLevel="3" x14ac:dyDescent="0.25">
      <c r="A528" s="18" t="s">
        <v>27</v>
      </c>
      <c r="B528" s="8"/>
      <c r="C528" s="8"/>
      <c r="D528" s="8"/>
      <c r="E528" s="19" t="s">
        <v>431</v>
      </c>
      <c r="F528" s="19" t="s">
        <v>494</v>
      </c>
      <c r="G528" s="19" t="s">
        <v>505</v>
      </c>
      <c r="H528" s="19" t="s">
        <v>506</v>
      </c>
      <c r="I528" s="46">
        <f>5964.5-21.607-110.5+139.3+80-150</f>
        <v>5901.6930000000002</v>
      </c>
      <c r="J528" s="46">
        <v>5964.5</v>
      </c>
      <c r="K528" s="46">
        <v>5964.5</v>
      </c>
      <c r="L528" s="51"/>
    </row>
    <row r="529" spans="1:12" ht="47.25" outlineLevel="6" x14ac:dyDescent="0.25">
      <c r="A529" s="18" t="s">
        <v>30</v>
      </c>
      <c r="B529" s="8"/>
      <c r="C529" s="8"/>
      <c r="D529" s="8"/>
      <c r="E529" s="19" t="s">
        <v>431</v>
      </c>
      <c r="F529" s="19" t="s">
        <v>495</v>
      </c>
      <c r="G529" s="19" t="s">
        <v>505</v>
      </c>
      <c r="H529" s="19" t="s">
        <v>506</v>
      </c>
      <c r="I529" s="46">
        <f>486.5+21.607+110.5+180+150</f>
        <v>948.60699999999997</v>
      </c>
      <c r="J529" s="46">
        <v>882.5</v>
      </c>
      <c r="K529" s="46">
        <v>1102.5</v>
      </c>
      <c r="L529" s="1"/>
    </row>
    <row r="530" spans="1:12" ht="47.25" outlineLevel="4" x14ac:dyDescent="0.25">
      <c r="A530" s="18" t="s">
        <v>184</v>
      </c>
      <c r="B530" s="8"/>
      <c r="C530" s="8"/>
      <c r="D530" s="8"/>
      <c r="E530" s="19" t="s">
        <v>432</v>
      </c>
      <c r="F530" s="19" t="s">
        <v>492</v>
      </c>
      <c r="G530" s="19" t="s">
        <v>500</v>
      </c>
      <c r="H530" s="19" t="s">
        <v>500</v>
      </c>
      <c r="I530" s="46">
        <f>I531+I532</f>
        <v>1720.2</v>
      </c>
      <c r="J530" s="46">
        <f t="shared" ref="J530:K530" si="234">J531+J532</f>
        <v>1650.4</v>
      </c>
      <c r="K530" s="46">
        <f t="shared" si="234"/>
        <v>1650.4</v>
      </c>
      <c r="L530" s="1"/>
    </row>
    <row r="531" spans="1:12" ht="111.75" customHeight="1" outlineLevel="5" x14ac:dyDescent="0.25">
      <c r="A531" s="18" t="s">
        <v>27</v>
      </c>
      <c r="B531" s="8"/>
      <c r="C531" s="8"/>
      <c r="D531" s="8"/>
      <c r="E531" s="19" t="s">
        <v>432</v>
      </c>
      <c r="F531" s="19" t="s">
        <v>494</v>
      </c>
      <c r="G531" s="19" t="s">
        <v>503</v>
      </c>
      <c r="H531" s="19" t="s">
        <v>506</v>
      </c>
      <c r="I531" s="46">
        <f>1609+47+22.8</f>
        <v>1678.8</v>
      </c>
      <c r="J531" s="46">
        <v>1609</v>
      </c>
      <c r="K531" s="46">
        <v>1609</v>
      </c>
      <c r="L531" s="1"/>
    </row>
    <row r="532" spans="1:12" ht="47.25" outlineLevel="6" x14ac:dyDescent="0.25">
      <c r="A532" s="18" t="s">
        <v>30</v>
      </c>
      <c r="B532" s="8"/>
      <c r="C532" s="8"/>
      <c r="D532" s="8"/>
      <c r="E532" s="19" t="s">
        <v>432</v>
      </c>
      <c r="F532" s="19" t="s">
        <v>495</v>
      </c>
      <c r="G532" s="19" t="s">
        <v>503</v>
      </c>
      <c r="H532" s="19" t="s">
        <v>506</v>
      </c>
      <c r="I532" s="46">
        <v>41.4</v>
      </c>
      <c r="J532" s="46">
        <v>41.4</v>
      </c>
      <c r="K532" s="46">
        <v>41.4</v>
      </c>
      <c r="L532" s="1"/>
    </row>
    <row r="533" spans="1:12" ht="63" outlineLevel="4" x14ac:dyDescent="0.25">
      <c r="A533" s="18" t="s">
        <v>185</v>
      </c>
      <c r="B533" s="8"/>
      <c r="C533" s="8"/>
      <c r="D533" s="8"/>
      <c r="E533" s="19" t="s">
        <v>433</v>
      </c>
      <c r="F533" s="19" t="s">
        <v>492</v>
      </c>
      <c r="G533" s="19" t="s">
        <v>500</v>
      </c>
      <c r="H533" s="19" t="s">
        <v>500</v>
      </c>
      <c r="I533" s="46">
        <f>I534+I535</f>
        <v>1289.2</v>
      </c>
      <c r="J533" s="46">
        <f t="shared" ref="J533:K533" si="235">J534+J535</f>
        <v>1240.9000000000001</v>
      </c>
      <c r="K533" s="46">
        <f t="shared" si="235"/>
        <v>1240.9000000000001</v>
      </c>
      <c r="L533" s="1"/>
    </row>
    <row r="534" spans="1:12" ht="110.25" customHeight="1" outlineLevel="5" x14ac:dyDescent="0.25">
      <c r="A534" s="18" t="s">
        <v>27</v>
      </c>
      <c r="B534" s="8"/>
      <c r="C534" s="8"/>
      <c r="D534" s="8"/>
      <c r="E534" s="19" t="s">
        <v>433</v>
      </c>
      <c r="F534" s="19" t="s">
        <v>494</v>
      </c>
      <c r="G534" s="19" t="s">
        <v>503</v>
      </c>
      <c r="H534" s="19" t="s">
        <v>506</v>
      </c>
      <c r="I534" s="46">
        <f>1224.9+30.6+17.7</f>
        <v>1273.2</v>
      </c>
      <c r="J534" s="46">
        <v>1224.9000000000001</v>
      </c>
      <c r="K534" s="46">
        <v>1224.9000000000001</v>
      </c>
      <c r="L534" s="1"/>
    </row>
    <row r="535" spans="1:12" ht="49.5" customHeight="1" outlineLevel="1" x14ac:dyDescent="0.25">
      <c r="A535" s="18" t="s">
        <v>30</v>
      </c>
      <c r="B535" s="8"/>
      <c r="C535" s="8"/>
      <c r="D535" s="8"/>
      <c r="E535" s="19" t="s">
        <v>433</v>
      </c>
      <c r="F535" s="19" t="s">
        <v>495</v>
      </c>
      <c r="G535" s="19" t="s">
        <v>503</v>
      </c>
      <c r="H535" s="19" t="s">
        <v>506</v>
      </c>
      <c r="I535" s="46">
        <v>16</v>
      </c>
      <c r="J535" s="46">
        <v>16</v>
      </c>
      <c r="K535" s="46">
        <v>16</v>
      </c>
      <c r="L535" s="1"/>
    </row>
    <row r="536" spans="1:12" ht="63" outlineLevel="4" x14ac:dyDescent="0.25">
      <c r="A536" s="18" t="s">
        <v>186</v>
      </c>
      <c r="B536" s="8"/>
      <c r="C536" s="8"/>
      <c r="D536" s="8"/>
      <c r="E536" s="19" t="s">
        <v>434</v>
      </c>
      <c r="F536" s="19" t="s">
        <v>492</v>
      </c>
      <c r="G536" s="19" t="s">
        <v>500</v>
      </c>
      <c r="H536" s="19" t="s">
        <v>500</v>
      </c>
      <c r="I536" s="46">
        <f>I537</f>
        <v>6705.0479999999998</v>
      </c>
      <c r="J536" s="46">
        <f t="shared" ref="J536:K536" si="236">J537</f>
        <v>6521.0999999999995</v>
      </c>
      <c r="K536" s="46">
        <f t="shared" si="236"/>
        <v>6521.0999999999995</v>
      </c>
      <c r="L536" s="1"/>
    </row>
    <row r="537" spans="1:12" ht="47.25" outlineLevel="5" x14ac:dyDescent="0.25">
      <c r="A537" s="18" t="s">
        <v>31</v>
      </c>
      <c r="B537" s="8"/>
      <c r="C537" s="8"/>
      <c r="D537" s="8"/>
      <c r="E537" s="19" t="s">
        <v>435</v>
      </c>
      <c r="F537" s="19" t="s">
        <v>492</v>
      </c>
      <c r="G537" s="19" t="s">
        <v>500</v>
      </c>
      <c r="H537" s="19" t="s">
        <v>500</v>
      </c>
      <c r="I537" s="46">
        <f>I538+I539</f>
        <v>6705.0479999999998</v>
      </c>
      <c r="J537" s="46">
        <f t="shared" ref="J537:K537" si="237">J538+J539</f>
        <v>6521.0999999999995</v>
      </c>
      <c r="K537" s="46">
        <f t="shared" si="237"/>
        <v>6521.0999999999995</v>
      </c>
      <c r="L537" s="1"/>
    </row>
    <row r="538" spans="1:12" ht="109.5" customHeight="1" outlineLevel="6" x14ac:dyDescent="0.25">
      <c r="A538" s="18" t="s">
        <v>27</v>
      </c>
      <c r="B538" s="8"/>
      <c r="C538" s="8"/>
      <c r="D538" s="8"/>
      <c r="E538" s="19" t="s">
        <v>435</v>
      </c>
      <c r="F538" s="19" t="s">
        <v>494</v>
      </c>
      <c r="G538" s="19" t="s">
        <v>503</v>
      </c>
      <c r="H538" s="19" t="s">
        <v>504</v>
      </c>
      <c r="I538" s="46">
        <f>5943.9-59.8+148.598+90.84</f>
        <v>6123.5379999999996</v>
      </c>
      <c r="J538" s="46">
        <v>5943.9</v>
      </c>
      <c r="K538" s="46">
        <v>5943.9</v>
      </c>
      <c r="L538" s="1"/>
    </row>
    <row r="539" spans="1:12" ht="47.25" outlineLevel="5" x14ac:dyDescent="0.25">
      <c r="A539" s="18" t="s">
        <v>30</v>
      </c>
      <c r="B539" s="8"/>
      <c r="C539" s="8"/>
      <c r="D539" s="8"/>
      <c r="E539" s="19" t="s">
        <v>435</v>
      </c>
      <c r="F539" s="19" t="s">
        <v>495</v>
      </c>
      <c r="G539" s="19" t="s">
        <v>503</v>
      </c>
      <c r="H539" s="19" t="s">
        <v>504</v>
      </c>
      <c r="I539" s="46">
        <f>577.2+59.8-55.49</f>
        <v>581.51</v>
      </c>
      <c r="J539" s="46">
        <v>577.20000000000005</v>
      </c>
      <c r="K539" s="46">
        <v>577.20000000000005</v>
      </c>
      <c r="L539" s="1"/>
    </row>
    <row r="540" spans="1:12" ht="63.75" customHeight="1" outlineLevel="4" x14ac:dyDescent="0.25">
      <c r="A540" s="18" t="s">
        <v>187</v>
      </c>
      <c r="B540" s="8"/>
      <c r="C540" s="8"/>
      <c r="D540" s="8"/>
      <c r="E540" s="19" t="s">
        <v>436</v>
      </c>
      <c r="F540" s="19" t="s">
        <v>492</v>
      </c>
      <c r="G540" s="19" t="s">
        <v>500</v>
      </c>
      <c r="H540" s="19" t="s">
        <v>500</v>
      </c>
      <c r="I540" s="46">
        <f>I541</f>
        <v>506</v>
      </c>
      <c r="J540" s="46">
        <f t="shared" ref="J540:K540" si="238">J541</f>
        <v>551</v>
      </c>
      <c r="K540" s="46">
        <f t="shared" si="238"/>
        <v>551</v>
      </c>
      <c r="L540" s="1"/>
    </row>
    <row r="541" spans="1:12" ht="63.75" customHeight="1" outlineLevel="5" x14ac:dyDescent="0.25">
      <c r="A541" s="18" t="s">
        <v>188</v>
      </c>
      <c r="B541" s="8"/>
      <c r="C541" s="8"/>
      <c r="D541" s="8"/>
      <c r="E541" s="19" t="s">
        <v>437</v>
      </c>
      <c r="F541" s="19" t="s">
        <v>492</v>
      </c>
      <c r="G541" s="19" t="s">
        <v>500</v>
      </c>
      <c r="H541" s="19" t="s">
        <v>500</v>
      </c>
      <c r="I541" s="46">
        <f>I542</f>
        <v>506</v>
      </c>
      <c r="J541" s="46">
        <f t="shared" ref="J541:K541" si="239">J542</f>
        <v>551</v>
      </c>
      <c r="K541" s="46">
        <f t="shared" si="239"/>
        <v>551</v>
      </c>
      <c r="L541" s="1"/>
    </row>
    <row r="542" spans="1:12" ht="47.25" outlineLevel="6" x14ac:dyDescent="0.25">
      <c r="A542" s="18" t="s">
        <v>30</v>
      </c>
      <c r="B542" s="8"/>
      <c r="C542" s="8"/>
      <c r="D542" s="8"/>
      <c r="E542" s="19" t="s">
        <v>437</v>
      </c>
      <c r="F542" s="19" t="s">
        <v>495</v>
      </c>
      <c r="G542" s="19" t="s">
        <v>503</v>
      </c>
      <c r="H542" s="19" t="s">
        <v>504</v>
      </c>
      <c r="I542" s="46">
        <f>551-35-10-53+53</f>
        <v>506</v>
      </c>
      <c r="J542" s="46">
        <v>551</v>
      </c>
      <c r="K542" s="46">
        <v>551</v>
      </c>
      <c r="L542" s="1"/>
    </row>
    <row r="543" spans="1:12" ht="52.5" customHeight="1" outlineLevel="4" x14ac:dyDescent="0.25">
      <c r="A543" s="18" t="s">
        <v>25</v>
      </c>
      <c r="B543" s="8"/>
      <c r="C543" s="8"/>
      <c r="D543" s="8"/>
      <c r="E543" s="19" t="s">
        <v>438</v>
      </c>
      <c r="F543" s="19" t="s">
        <v>492</v>
      </c>
      <c r="G543" s="19" t="s">
        <v>500</v>
      </c>
      <c r="H543" s="19" t="s">
        <v>500</v>
      </c>
      <c r="I543" s="46">
        <f>I544+I550+I554+I548+I552</f>
        <v>62590.946019999996</v>
      </c>
      <c r="J543" s="46">
        <f t="shared" ref="J543:K543" si="240">J544+J550+J554</f>
        <v>48795.7</v>
      </c>
      <c r="K543" s="46">
        <f t="shared" si="240"/>
        <v>48795.7</v>
      </c>
      <c r="L543" s="1"/>
    </row>
    <row r="544" spans="1:12" ht="68.25" customHeight="1" outlineLevel="5" x14ac:dyDescent="0.25">
      <c r="A544" s="18" t="s">
        <v>189</v>
      </c>
      <c r="B544" s="8"/>
      <c r="C544" s="8"/>
      <c r="D544" s="8"/>
      <c r="E544" s="19" t="s">
        <v>439</v>
      </c>
      <c r="F544" s="19" t="s">
        <v>492</v>
      </c>
      <c r="G544" s="19" t="s">
        <v>500</v>
      </c>
      <c r="H544" s="19" t="s">
        <v>500</v>
      </c>
      <c r="I544" s="46">
        <f>I545+I546+I547</f>
        <v>52194.731199999995</v>
      </c>
      <c r="J544" s="46">
        <f t="shared" ref="J544:K544" si="241">J545+J546</f>
        <v>43609.799999999996</v>
      </c>
      <c r="K544" s="46">
        <f t="shared" si="241"/>
        <v>43609.799999999996</v>
      </c>
      <c r="L544" s="1"/>
    </row>
    <row r="545" spans="1:12" ht="111.75" customHeight="1" outlineLevel="6" x14ac:dyDescent="0.25">
      <c r="A545" s="18" t="s">
        <v>27</v>
      </c>
      <c r="B545" s="8"/>
      <c r="C545" s="8"/>
      <c r="D545" s="8"/>
      <c r="E545" s="19" t="s">
        <v>439</v>
      </c>
      <c r="F545" s="19" t="s">
        <v>494</v>
      </c>
      <c r="G545" s="19" t="s">
        <v>503</v>
      </c>
      <c r="H545" s="19" t="s">
        <v>504</v>
      </c>
      <c r="I545" s="46">
        <f>40631.6+994.901+590.0302</f>
        <v>42216.531199999998</v>
      </c>
      <c r="J545" s="46">
        <v>40631.599999999999</v>
      </c>
      <c r="K545" s="46">
        <v>40631.599999999999</v>
      </c>
      <c r="L545" s="1"/>
    </row>
    <row r="546" spans="1:12" ht="47.25" outlineLevel="5" x14ac:dyDescent="0.25">
      <c r="A546" s="18" t="s">
        <v>30</v>
      </c>
      <c r="B546" s="8"/>
      <c r="C546" s="8"/>
      <c r="D546" s="8"/>
      <c r="E546" s="19" t="s">
        <v>439</v>
      </c>
      <c r="F546" s="19" t="s">
        <v>495</v>
      </c>
      <c r="G546" s="19" t="s">
        <v>503</v>
      </c>
      <c r="H546" s="19" t="s">
        <v>504</v>
      </c>
      <c r="I546" s="46">
        <f>2978.2+7000-2-53+53</f>
        <v>9976.2000000000007</v>
      </c>
      <c r="J546" s="46">
        <v>2978.2</v>
      </c>
      <c r="K546" s="46">
        <v>2978.2</v>
      </c>
      <c r="L546" s="1"/>
    </row>
    <row r="547" spans="1:12" ht="15.75" outlineLevel="5" x14ac:dyDescent="0.25">
      <c r="A547" s="18" t="s">
        <v>33</v>
      </c>
      <c r="B547" s="8"/>
      <c r="C547" s="8"/>
      <c r="D547" s="8"/>
      <c r="E547" s="19" t="s">
        <v>439</v>
      </c>
      <c r="F547" s="19">
        <v>800</v>
      </c>
      <c r="G547" s="19" t="s">
        <v>503</v>
      </c>
      <c r="H547" s="19" t="s">
        <v>504</v>
      </c>
      <c r="I547" s="46">
        <v>2</v>
      </c>
      <c r="J547" s="46">
        <v>0</v>
      </c>
      <c r="K547" s="46">
        <v>0</v>
      </c>
      <c r="L547" s="1"/>
    </row>
    <row r="548" spans="1:12" ht="15.75" outlineLevel="5" x14ac:dyDescent="0.25">
      <c r="A548" s="18" t="s">
        <v>604</v>
      </c>
      <c r="B548" s="8"/>
      <c r="C548" s="8"/>
      <c r="D548" s="8"/>
      <c r="E548" s="43">
        <v>1040510040</v>
      </c>
      <c r="F548" s="19" t="s">
        <v>492</v>
      </c>
      <c r="G548" s="19" t="s">
        <v>500</v>
      </c>
      <c r="H548" s="19" t="s">
        <v>500</v>
      </c>
      <c r="I548" s="46">
        <f>I549</f>
        <v>3909.1132200000002</v>
      </c>
      <c r="J548" s="46">
        <f t="shared" ref="J548:K548" si="242">J549</f>
        <v>0</v>
      </c>
      <c r="K548" s="46">
        <f t="shared" si="242"/>
        <v>0</v>
      </c>
      <c r="L548" s="1"/>
    </row>
    <row r="549" spans="1:12" ht="15.75" outlineLevel="5" x14ac:dyDescent="0.25">
      <c r="A549" s="18" t="s">
        <v>33</v>
      </c>
      <c r="B549" s="8"/>
      <c r="C549" s="8"/>
      <c r="D549" s="8"/>
      <c r="E549" s="43">
        <v>1040510040</v>
      </c>
      <c r="F549" s="43">
        <v>800</v>
      </c>
      <c r="G549" s="19" t="s">
        <v>503</v>
      </c>
      <c r="H549" s="19" t="s">
        <v>504</v>
      </c>
      <c r="I549" s="46">
        <f>55.49+35+3732.72618+85.89704</f>
        <v>3909.1132200000002</v>
      </c>
      <c r="J549" s="46">
        <v>0</v>
      </c>
      <c r="K549" s="46">
        <v>0</v>
      </c>
      <c r="L549" s="1"/>
    </row>
    <row r="550" spans="1:12" ht="94.5" outlineLevel="3" x14ac:dyDescent="0.25">
      <c r="A550" s="18" t="s">
        <v>190</v>
      </c>
      <c r="B550" s="8"/>
      <c r="C550" s="8"/>
      <c r="D550" s="8"/>
      <c r="E550" s="19" t="s">
        <v>440</v>
      </c>
      <c r="F550" s="19" t="s">
        <v>492</v>
      </c>
      <c r="G550" s="19" t="s">
        <v>500</v>
      </c>
      <c r="H550" s="19" t="s">
        <v>500</v>
      </c>
      <c r="I550" s="46">
        <f>I551</f>
        <v>499</v>
      </c>
      <c r="J550" s="46">
        <f t="shared" ref="J550:K550" si="243">J551</f>
        <v>499</v>
      </c>
      <c r="K550" s="46">
        <f t="shared" si="243"/>
        <v>499</v>
      </c>
      <c r="L550" s="1"/>
    </row>
    <row r="551" spans="1:12" ht="34.5" customHeight="1" outlineLevel="4" x14ac:dyDescent="0.25">
      <c r="A551" s="18" t="s">
        <v>45</v>
      </c>
      <c r="B551" s="8"/>
      <c r="C551" s="8"/>
      <c r="D551" s="8"/>
      <c r="E551" s="19" t="s">
        <v>440</v>
      </c>
      <c r="F551" s="19" t="s">
        <v>498</v>
      </c>
      <c r="G551" s="19" t="s">
        <v>503</v>
      </c>
      <c r="H551" s="19" t="s">
        <v>504</v>
      </c>
      <c r="I551" s="46">
        <v>499</v>
      </c>
      <c r="J551" s="46">
        <v>499</v>
      </c>
      <c r="K551" s="46">
        <v>499</v>
      </c>
      <c r="L551" s="4"/>
    </row>
    <row r="552" spans="1:12" ht="18" customHeight="1" outlineLevel="4" x14ac:dyDescent="0.25">
      <c r="A552" s="18" t="s">
        <v>680</v>
      </c>
      <c r="B552" s="8"/>
      <c r="C552" s="8"/>
      <c r="D552" s="8"/>
      <c r="E552" s="43">
        <v>1040520200</v>
      </c>
      <c r="F552" s="19" t="s">
        <v>492</v>
      </c>
      <c r="G552" s="19" t="s">
        <v>500</v>
      </c>
      <c r="H552" s="19" t="s">
        <v>500</v>
      </c>
      <c r="I552" s="46">
        <f>I553</f>
        <v>10</v>
      </c>
      <c r="J552" s="46">
        <f t="shared" ref="J552:K552" si="244">J553</f>
        <v>0</v>
      </c>
      <c r="K552" s="46">
        <f t="shared" si="244"/>
        <v>0</v>
      </c>
      <c r="L552" s="4"/>
    </row>
    <row r="553" spans="1:12" ht="34.5" customHeight="1" outlineLevel="4" x14ac:dyDescent="0.25">
      <c r="A553" s="18" t="s">
        <v>45</v>
      </c>
      <c r="B553" s="8"/>
      <c r="C553" s="8"/>
      <c r="D553" s="8"/>
      <c r="E553" s="43">
        <v>1040520200</v>
      </c>
      <c r="F553" s="19" t="s">
        <v>498</v>
      </c>
      <c r="G553" s="19" t="s">
        <v>503</v>
      </c>
      <c r="H553" s="19" t="s">
        <v>504</v>
      </c>
      <c r="I553" s="46">
        <v>10</v>
      </c>
      <c r="J553" s="46">
        <v>0</v>
      </c>
      <c r="K553" s="46">
        <v>0</v>
      </c>
      <c r="L553" s="4"/>
    </row>
    <row r="554" spans="1:12" ht="63" outlineLevel="4" x14ac:dyDescent="0.25">
      <c r="A554" s="18" t="s">
        <v>191</v>
      </c>
      <c r="B554" s="8"/>
      <c r="C554" s="8"/>
      <c r="D554" s="8"/>
      <c r="E554" s="19" t="s">
        <v>441</v>
      </c>
      <c r="F554" s="19" t="s">
        <v>492</v>
      </c>
      <c r="G554" s="19" t="s">
        <v>500</v>
      </c>
      <c r="H554" s="19" t="s">
        <v>500</v>
      </c>
      <c r="I554" s="46">
        <f>I555</f>
        <v>5978.1016</v>
      </c>
      <c r="J554" s="46">
        <f t="shared" ref="J554:K554" si="245">J555</f>
        <v>4686.8999999999996</v>
      </c>
      <c r="K554" s="46">
        <f t="shared" si="245"/>
        <v>4686.8999999999996</v>
      </c>
      <c r="L554" s="1"/>
    </row>
    <row r="555" spans="1:12" ht="50.25" customHeight="1" outlineLevel="5" x14ac:dyDescent="0.25">
      <c r="A555" s="18" t="s">
        <v>36</v>
      </c>
      <c r="B555" s="8"/>
      <c r="C555" s="8"/>
      <c r="D555" s="8"/>
      <c r="E555" s="19" t="s">
        <v>441</v>
      </c>
      <c r="F555" s="19" t="s">
        <v>497</v>
      </c>
      <c r="G555" s="19" t="s">
        <v>506</v>
      </c>
      <c r="H555" s="19" t="s">
        <v>507</v>
      </c>
      <c r="I555" s="46">
        <f>4686.9+79.7186+50.183+1161.3</f>
        <v>5978.1016</v>
      </c>
      <c r="J555" s="46">
        <v>4686.8999999999996</v>
      </c>
      <c r="K555" s="46">
        <v>4686.8999999999996</v>
      </c>
      <c r="L555" s="1"/>
    </row>
    <row r="556" spans="1:12" ht="47.25" outlineLevel="5" x14ac:dyDescent="0.25">
      <c r="A556" s="18" t="s">
        <v>192</v>
      </c>
      <c r="B556" s="8"/>
      <c r="C556" s="8"/>
      <c r="D556" s="8"/>
      <c r="E556" s="19" t="s">
        <v>442</v>
      </c>
      <c r="F556" s="19" t="s">
        <v>492</v>
      </c>
      <c r="G556" s="19" t="s">
        <v>500</v>
      </c>
      <c r="H556" s="19" t="s">
        <v>500</v>
      </c>
      <c r="I556" s="46">
        <f>I557</f>
        <v>490</v>
      </c>
      <c r="J556" s="46">
        <f t="shared" ref="J556:K557" si="246">J557</f>
        <v>490</v>
      </c>
      <c r="K556" s="46">
        <f t="shared" si="246"/>
        <v>490</v>
      </c>
      <c r="L556" s="1"/>
    </row>
    <row r="557" spans="1:12" ht="31.5" outlineLevel="6" x14ac:dyDescent="0.25">
      <c r="A557" s="18" t="s">
        <v>193</v>
      </c>
      <c r="B557" s="8"/>
      <c r="C557" s="8"/>
      <c r="D557" s="8"/>
      <c r="E557" s="19" t="s">
        <v>443</v>
      </c>
      <c r="F557" s="19" t="s">
        <v>492</v>
      </c>
      <c r="G557" s="19" t="s">
        <v>500</v>
      </c>
      <c r="H557" s="19" t="s">
        <v>500</v>
      </c>
      <c r="I557" s="46">
        <f>I558</f>
        <v>490</v>
      </c>
      <c r="J557" s="46">
        <f t="shared" si="246"/>
        <v>490</v>
      </c>
      <c r="K557" s="46">
        <f t="shared" si="246"/>
        <v>490</v>
      </c>
      <c r="L557" s="1"/>
    </row>
    <row r="558" spans="1:12" ht="31.5" outlineLevel="6" x14ac:dyDescent="0.25">
      <c r="A558" s="18" t="s">
        <v>45</v>
      </c>
      <c r="B558" s="8"/>
      <c r="C558" s="8"/>
      <c r="D558" s="8"/>
      <c r="E558" s="19" t="s">
        <v>443</v>
      </c>
      <c r="F558" s="19" t="s">
        <v>498</v>
      </c>
      <c r="G558" s="19" t="s">
        <v>505</v>
      </c>
      <c r="H558" s="19" t="s">
        <v>514</v>
      </c>
      <c r="I558" s="46">
        <v>490</v>
      </c>
      <c r="J558" s="46">
        <v>490</v>
      </c>
      <c r="K558" s="46">
        <v>490</v>
      </c>
      <c r="L558" s="1"/>
    </row>
    <row r="559" spans="1:12" ht="67.5" customHeight="1" x14ac:dyDescent="0.25">
      <c r="A559" s="18" t="s">
        <v>194</v>
      </c>
      <c r="B559" s="8"/>
      <c r="C559" s="8"/>
      <c r="D559" s="8"/>
      <c r="E559" s="19" t="s">
        <v>444</v>
      </c>
      <c r="F559" s="19" t="s">
        <v>492</v>
      </c>
      <c r="G559" s="19" t="s">
        <v>500</v>
      </c>
      <c r="H559" s="19" t="s">
        <v>500</v>
      </c>
      <c r="I559" s="46">
        <f>I560</f>
        <v>9411.1029999999992</v>
      </c>
      <c r="J559" s="46">
        <f t="shared" ref="J559:K559" si="247">J560</f>
        <v>9127.4</v>
      </c>
      <c r="K559" s="46">
        <f t="shared" si="247"/>
        <v>9127.4</v>
      </c>
      <c r="L559" s="1"/>
    </row>
    <row r="560" spans="1:12" ht="67.5" customHeight="1" outlineLevel="1" x14ac:dyDescent="0.25">
      <c r="A560" s="18" t="s">
        <v>195</v>
      </c>
      <c r="B560" s="8"/>
      <c r="C560" s="8"/>
      <c r="D560" s="8"/>
      <c r="E560" s="19" t="s">
        <v>445</v>
      </c>
      <c r="F560" s="19" t="s">
        <v>492</v>
      </c>
      <c r="G560" s="19" t="s">
        <v>500</v>
      </c>
      <c r="H560" s="19" t="s">
        <v>500</v>
      </c>
      <c r="I560" s="46">
        <f>I561+I562</f>
        <v>9411.1029999999992</v>
      </c>
      <c r="J560" s="46">
        <f t="shared" ref="J560:K560" si="248">J561+J562</f>
        <v>9127.4</v>
      </c>
      <c r="K560" s="46">
        <f t="shared" si="248"/>
        <v>9127.4</v>
      </c>
      <c r="L560" s="1"/>
    </row>
    <row r="561" spans="1:12" ht="49.5" customHeight="1" outlineLevel="2" x14ac:dyDescent="0.25">
      <c r="A561" s="18" t="s">
        <v>36</v>
      </c>
      <c r="B561" s="8"/>
      <c r="C561" s="8"/>
      <c r="D561" s="8"/>
      <c r="E561" s="19" t="s">
        <v>445</v>
      </c>
      <c r="F561" s="19" t="s">
        <v>497</v>
      </c>
      <c r="G561" s="19" t="s">
        <v>507</v>
      </c>
      <c r="H561" s="19" t="s">
        <v>503</v>
      </c>
      <c r="I561" s="46">
        <f>4868.9+115.86+86.67</f>
        <v>5071.4299999999994</v>
      </c>
      <c r="J561" s="46">
        <v>4868.8999999999996</v>
      </c>
      <c r="K561" s="46">
        <v>4868.8999999999996</v>
      </c>
      <c r="L561" s="1"/>
    </row>
    <row r="562" spans="1:12" ht="50.25" customHeight="1" outlineLevel="5" x14ac:dyDescent="0.25">
      <c r="A562" s="18" t="s">
        <v>36</v>
      </c>
      <c r="B562" s="8"/>
      <c r="C562" s="8"/>
      <c r="D562" s="8"/>
      <c r="E562" s="19" t="s">
        <v>445</v>
      </c>
      <c r="F562" s="19" t="s">
        <v>497</v>
      </c>
      <c r="G562" s="19" t="s">
        <v>507</v>
      </c>
      <c r="H562" s="19" t="s">
        <v>502</v>
      </c>
      <c r="I562" s="46">
        <f>4258.5+71.8125+9.3605</f>
        <v>4339.6729999999998</v>
      </c>
      <c r="J562" s="46">
        <v>4258.5</v>
      </c>
      <c r="K562" s="46">
        <v>4258.5</v>
      </c>
      <c r="L562" s="1"/>
    </row>
    <row r="563" spans="1:12" ht="63" outlineLevel="6" x14ac:dyDescent="0.25">
      <c r="A563" s="29" t="s">
        <v>196</v>
      </c>
      <c r="B563" s="30"/>
      <c r="C563" s="30"/>
      <c r="D563" s="30"/>
      <c r="E563" s="31" t="s">
        <v>446</v>
      </c>
      <c r="F563" s="31" t="s">
        <v>492</v>
      </c>
      <c r="G563" s="31" t="s">
        <v>500</v>
      </c>
      <c r="H563" s="31" t="s">
        <v>500</v>
      </c>
      <c r="I563" s="44">
        <f>I564</f>
        <v>160.20000000000005</v>
      </c>
      <c r="J563" s="44">
        <f t="shared" ref="J563:K566" si="249">J564</f>
        <v>801</v>
      </c>
      <c r="K563" s="44">
        <f t="shared" si="249"/>
        <v>801</v>
      </c>
      <c r="L563" s="1"/>
    </row>
    <row r="564" spans="1:12" ht="17.25" customHeight="1" outlineLevel="5" x14ac:dyDescent="0.25">
      <c r="A564" s="32" t="s">
        <v>24</v>
      </c>
      <c r="B564" s="8"/>
      <c r="C564" s="8"/>
      <c r="D564" s="8"/>
      <c r="E564" s="8" t="s">
        <v>447</v>
      </c>
      <c r="F564" s="8" t="s">
        <v>492</v>
      </c>
      <c r="G564" s="8" t="s">
        <v>500</v>
      </c>
      <c r="H564" s="8" t="s">
        <v>500</v>
      </c>
      <c r="I564" s="45">
        <f>I565</f>
        <v>160.20000000000005</v>
      </c>
      <c r="J564" s="45">
        <f t="shared" si="249"/>
        <v>801</v>
      </c>
      <c r="K564" s="45">
        <f t="shared" si="249"/>
        <v>801</v>
      </c>
      <c r="L564" s="1"/>
    </row>
    <row r="565" spans="1:12" ht="63" outlineLevel="6" x14ac:dyDescent="0.25">
      <c r="A565" s="18" t="s">
        <v>197</v>
      </c>
      <c r="B565" s="8"/>
      <c r="C565" s="8"/>
      <c r="D565" s="8"/>
      <c r="E565" s="19" t="s">
        <v>448</v>
      </c>
      <c r="F565" s="19" t="s">
        <v>492</v>
      </c>
      <c r="G565" s="19" t="s">
        <v>500</v>
      </c>
      <c r="H565" s="19" t="s">
        <v>500</v>
      </c>
      <c r="I565" s="46">
        <f>I566</f>
        <v>160.20000000000005</v>
      </c>
      <c r="J565" s="46">
        <f t="shared" si="249"/>
        <v>801</v>
      </c>
      <c r="K565" s="46">
        <f t="shared" si="249"/>
        <v>801</v>
      </c>
      <c r="L565" s="1"/>
    </row>
    <row r="566" spans="1:12" ht="78.75" outlineLevel="2" x14ac:dyDescent="0.25">
      <c r="A566" s="18" t="s">
        <v>198</v>
      </c>
      <c r="B566" s="8"/>
      <c r="C566" s="8"/>
      <c r="D566" s="8"/>
      <c r="E566" s="19" t="s">
        <v>449</v>
      </c>
      <c r="F566" s="19" t="s">
        <v>492</v>
      </c>
      <c r="G566" s="19" t="s">
        <v>500</v>
      </c>
      <c r="H566" s="19" t="s">
        <v>500</v>
      </c>
      <c r="I566" s="46">
        <f>I567</f>
        <v>160.20000000000005</v>
      </c>
      <c r="J566" s="46">
        <f t="shared" si="249"/>
        <v>801</v>
      </c>
      <c r="K566" s="46">
        <f t="shared" si="249"/>
        <v>801</v>
      </c>
      <c r="L566" s="1"/>
    </row>
    <row r="567" spans="1:12" ht="49.5" customHeight="1" outlineLevel="3" x14ac:dyDescent="0.25">
      <c r="A567" s="18" t="s">
        <v>36</v>
      </c>
      <c r="B567" s="8"/>
      <c r="C567" s="8"/>
      <c r="D567" s="8"/>
      <c r="E567" s="19" t="s">
        <v>449</v>
      </c>
      <c r="F567" s="19" t="s">
        <v>497</v>
      </c>
      <c r="G567" s="19" t="s">
        <v>506</v>
      </c>
      <c r="H567" s="19" t="s">
        <v>507</v>
      </c>
      <c r="I567" s="46">
        <f>801-640.8</f>
        <v>160.20000000000005</v>
      </c>
      <c r="J567" s="46">
        <v>801</v>
      </c>
      <c r="K567" s="46">
        <v>801</v>
      </c>
      <c r="L567" s="1"/>
    </row>
    <row r="568" spans="1:12" ht="94.5" outlineLevel="6" x14ac:dyDescent="0.25">
      <c r="A568" s="29" t="s">
        <v>199</v>
      </c>
      <c r="B568" s="30"/>
      <c r="C568" s="30"/>
      <c r="D568" s="30"/>
      <c r="E568" s="31" t="s">
        <v>450</v>
      </c>
      <c r="F568" s="31" t="s">
        <v>492</v>
      </c>
      <c r="G568" s="31" t="s">
        <v>500</v>
      </c>
      <c r="H568" s="31" t="s">
        <v>500</v>
      </c>
      <c r="I568" s="44">
        <f>I569</f>
        <v>6548.3154999999997</v>
      </c>
      <c r="J568" s="44">
        <f t="shared" ref="J568:K568" si="250">J569</f>
        <v>6385.5</v>
      </c>
      <c r="K568" s="44">
        <f t="shared" si="250"/>
        <v>6385.5</v>
      </c>
      <c r="L568" s="1"/>
    </row>
    <row r="569" spans="1:12" ht="17.25" customHeight="1" outlineLevel="3" x14ac:dyDescent="0.25">
      <c r="A569" s="32" t="s">
        <v>24</v>
      </c>
      <c r="B569" s="8"/>
      <c r="C569" s="8"/>
      <c r="D569" s="8"/>
      <c r="E569" s="8" t="s">
        <v>451</v>
      </c>
      <c r="F569" s="8" t="s">
        <v>492</v>
      </c>
      <c r="G569" s="8" t="s">
        <v>500</v>
      </c>
      <c r="H569" s="8" t="s">
        <v>500</v>
      </c>
      <c r="I569" s="45">
        <f>I570+I584</f>
        <v>6548.3154999999997</v>
      </c>
      <c r="J569" s="45">
        <f t="shared" ref="J569:K569" si="251">J570+J584</f>
        <v>6385.5</v>
      </c>
      <c r="K569" s="45">
        <f t="shared" si="251"/>
        <v>6385.5</v>
      </c>
      <c r="L569" s="1"/>
    </row>
    <row r="570" spans="1:12" ht="66.75" customHeight="1" outlineLevel="4" x14ac:dyDescent="0.25">
      <c r="A570" s="18" t="s">
        <v>200</v>
      </c>
      <c r="B570" s="8"/>
      <c r="C570" s="8"/>
      <c r="D570" s="8"/>
      <c r="E570" s="19" t="s">
        <v>452</v>
      </c>
      <c r="F570" s="19" t="s">
        <v>492</v>
      </c>
      <c r="G570" s="19" t="s">
        <v>500</v>
      </c>
      <c r="H570" s="19" t="s">
        <v>500</v>
      </c>
      <c r="I570" s="46">
        <f>I571+I574+I577+I580+I582</f>
        <v>732</v>
      </c>
      <c r="J570" s="46">
        <f t="shared" ref="J570:K570" si="252">J571+J574+J577+J580+J582</f>
        <v>777</v>
      </c>
      <c r="K570" s="46">
        <f t="shared" si="252"/>
        <v>777</v>
      </c>
      <c r="L570" s="1"/>
    </row>
    <row r="571" spans="1:12" ht="31.5" outlineLevel="5" x14ac:dyDescent="0.25">
      <c r="A571" s="18" t="s">
        <v>201</v>
      </c>
      <c r="B571" s="8"/>
      <c r="C571" s="8"/>
      <c r="D571" s="8"/>
      <c r="E571" s="19" t="s">
        <v>453</v>
      </c>
      <c r="F571" s="19" t="s">
        <v>492</v>
      </c>
      <c r="G571" s="19" t="s">
        <v>500</v>
      </c>
      <c r="H571" s="19" t="s">
        <v>500</v>
      </c>
      <c r="I571" s="46">
        <f>I572+I573</f>
        <v>447.3</v>
      </c>
      <c r="J571" s="46">
        <f t="shared" ref="J571:K571" si="253">J572+J573</f>
        <v>447.3</v>
      </c>
      <c r="K571" s="46">
        <f t="shared" si="253"/>
        <v>447.3</v>
      </c>
      <c r="L571" s="1"/>
    </row>
    <row r="572" spans="1:12" ht="47.25" outlineLevel="6" x14ac:dyDescent="0.25">
      <c r="A572" s="18" t="s">
        <v>30</v>
      </c>
      <c r="B572" s="8"/>
      <c r="C572" s="8"/>
      <c r="D572" s="8"/>
      <c r="E572" s="19" t="s">
        <v>453</v>
      </c>
      <c r="F572" s="19" t="s">
        <v>495</v>
      </c>
      <c r="G572" s="19" t="s">
        <v>508</v>
      </c>
      <c r="H572" s="19" t="s">
        <v>505</v>
      </c>
      <c r="I572" s="46">
        <v>1.8</v>
      </c>
      <c r="J572" s="46">
        <v>1.8</v>
      </c>
      <c r="K572" s="46">
        <v>1.8</v>
      </c>
      <c r="L572" s="1"/>
    </row>
    <row r="573" spans="1:12" ht="33.75" customHeight="1" outlineLevel="2" x14ac:dyDescent="0.25">
      <c r="A573" s="18" t="s">
        <v>45</v>
      </c>
      <c r="B573" s="8"/>
      <c r="C573" s="8"/>
      <c r="D573" s="8"/>
      <c r="E573" s="19" t="s">
        <v>453</v>
      </c>
      <c r="F573" s="19" t="s">
        <v>498</v>
      </c>
      <c r="G573" s="19" t="s">
        <v>508</v>
      </c>
      <c r="H573" s="19" t="s">
        <v>505</v>
      </c>
      <c r="I573" s="46">
        <v>445.5</v>
      </c>
      <c r="J573" s="46">
        <v>445.5</v>
      </c>
      <c r="K573" s="46">
        <v>445.5</v>
      </c>
      <c r="L573" s="1"/>
    </row>
    <row r="574" spans="1:12" ht="31.5" outlineLevel="5" x14ac:dyDescent="0.25">
      <c r="A574" s="18" t="s">
        <v>202</v>
      </c>
      <c r="B574" s="8"/>
      <c r="C574" s="8"/>
      <c r="D574" s="8"/>
      <c r="E574" s="19" t="s">
        <v>454</v>
      </c>
      <c r="F574" s="19" t="s">
        <v>492</v>
      </c>
      <c r="G574" s="19" t="s">
        <v>500</v>
      </c>
      <c r="H574" s="19" t="s">
        <v>500</v>
      </c>
      <c r="I574" s="46">
        <f>I575+I576</f>
        <v>8.6</v>
      </c>
      <c r="J574" s="46">
        <f t="shared" ref="J574:K574" si="254">J575+J576</f>
        <v>57.6</v>
      </c>
      <c r="K574" s="46">
        <f t="shared" si="254"/>
        <v>57.6</v>
      </c>
      <c r="L574" s="1"/>
    </row>
    <row r="575" spans="1:12" ht="47.25" outlineLevel="6" x14ac:dyDescent="0.25">
      <c r="A575" s="18" t="s">
        <v>30</v>
      </c>
      <c r="B575" s="8"/>
      <c r="C575" s="8"/>
      <c r="D575" s="8"/>
      <c r="E575" s="19" t="s">
        <v>454</v>
      </c>
      <c r="F575" s="19" t="s">
        <v>495</v>
      </c>
      <c r="G575" s="19" t="s">
        <v>508</v>
      </c>
      <c r="H575" s="19" t="s">
        <v>505</v>
      </c>
      <c r="I575" s="46">
        <v>1.6</v>
      </c>
      <c r="J575" s="46">
        <v>1.6</v>
      </c>
      <c r="K575" s="46">
        <v>1.6</v>
      </c>
      <c r="L575" s="1"/>
    </row>
    <row r="576" spans="1:12" ht="31.5" outlineLevel="6" x14ac:dyDescent="0.25">
      <c r="A576" s="18" t="s">
        <v>45</v>
      </c>
      <c r="B576" s="8"/>
      <c r="C576" s="8"/>
      <c r="D576" s="8"/>
      <c r="E576" s="19" t="s">
        <v>454</v>
      </c>
      <c r="F576" s="19" t="s">
        <v>498</v>
      </c>
      <c r="G576" s="19" t="s">
        <v>508</v>
      </c>
      <c r="H576" s="19" t="s">
        <v>505</v>
      </c>
      <c r="I576" s="46">
        <f>56-49</f>
        <v>7</v>
      </c>
      <c r="J576" s="46">
        <v>56</v>
      </c>
      <c r="K576" s="46">
        <v>56</v>
      </c>
      <c r="L576" s="1"/>
    </row>
    <row r="577" spans="1:12" ht="36" customHeight="1" outlineLevel="6" x14ac:dyDescent="0.25">
      <c r="A577" s="18" t="s">
        <v>203</v>
      </c>
      <c r="B577" s="34"/>
      <c r="C577" s="8"/>
      <c r="D577" s="8"/>
      <c r="E577" s="19" t="s">
        <v>455</v>
      </c>
      <c r="F577" s="19" t="s">
        <v>492</v>
      </c>
      <c r="G577" s="19" t="s">
        <v>500</v>
      </c>
      <c r="H577" s="19" t="s">
        <v>500</v>
      </c>
      <c r="I577" s="46">
        <f>I578+I579</f>
        <v>266.10000000000002</v>
      </c>
      <c r="J577" s="46">
        <f t="shared" ref="J577:K577" si="255">J578+J579</f>
        <v>212.1</v>
      </c>
      <c r="K577" s="46">
        <f t="shared" si="255"/>
        <v>212.1</v>
      </c>
      <c r="L577" s="1"/>
    </row>
    <row r="578" spans="1:12" ht="48" customHeight="1" outlineLevel="6" x14ac:dyDescent="0.25">
      <c r="A578" s="18" t="s">
        <v>30</v>
      </c>
      <c r="B578" s="8"/>
      <c r="C578" s="8"/>
      <c r="D578" s="8"/>
      <c r="E578" s="19" t="s">
        <v>455</v>
      </c>
      <c r="F578" s="19" t="s">
        <v>495</v>
      </c>
      <c r="G578" s="19" t="s">
        <v>508</v>
      </c>
      <c r="H578" s="19" t="s">
        <v>505</v>
      </c>
      <c r="I578" s="46">
        <v>2.1</v>
      </c>
      <c r="J578" s="46">
        <v>2.1</v>
      </c>
      <c r="K578" s="46">
        <v>2.1</v>
      </c>
      <c r="L578" s="1"/>
    </row>
    <row r="579" spans="1:12" ht="31.5" outlineLevel="3" x14ac:dyDescent="0.25">
      <c r="A579" s="18" t="s">
        <v>45</v>
      </c>
      <c r="B579" s="8"/>
      <c r="C579" s="8"/>
      <c r="D579" s="8"/>
      <c r="E579" s="19" t="s">
        <v>455</v>
      </c>
      <c r="F579" s="19" t="s">
        <v>498</v>
      </c>
      <c r="G579" s="19" t="s">
        <v>508</v>
      </c>
      <c r="H579" s="19" t="s">
        <v>505</v>
      </c>
      <c r="I579" s="46">
        <f>210+54</f>
        <v>264</v>
      </c>
      <c r="J579" s="46">
        <v>210</v>
      </c>
      <c r="K579" s="46">
        <v>210</v>
      </c>
      <c r="L579" s="1"/>
    </row>
    <row r="580" spans="1:12" ht="47.25" outlineLevel="6" x14ac:dyDescent="0.25">
      <c r="A580" s="18" t="s">
        <v>204</v>
      </c>
      <c r="B580" s="8"/>
      <c r="C580" s="8"/>
      <c r="D580" s="8"/>
      <c r="E580" s="19" t="s">
        <v>456</v>
      </c>
      <c r="F580" s="19" t="s">
        <v>492</v>
      </c>
      <c r="G580" s="19" t="s">
        <v>500</v>
      </c>
      <c r="H580" s="19" t="s">
        <v>500</v>
      </c>
      <c r="I580" s="46">
        <f>I581</f>
        <v>10</v>
      </c>
      <c r="J580" s="46">
        <f t="shared" ref="J580:K580" si="256">J581</f>
        <v>56</v>
      </c>
      <c r="K580" s="46">
        <f t="shared" si="256"/>
        <v>56</v>
      </c>
      <c r="L580" s="1"/>
    </row>
    <row r="581" spans="1:12" ht="34.5" customHeight="1" outlineLevel="2" x14ac:dyDescent="0.25">
      <c r="A581" s="18" t="s">
        <v>45</v>
      </c>
      <c r="B581" s="8"/>
      <c r="C581" s="8"/>
      <c r="D581" s="8"/>
      <c r="E581" s="19" t="s">
        <v>456</v>
      </c>
      <c r="F581" s="19" t="s">
        <v>498</v>
      </c>
      <c r="G581" s="19" t="s">
        <v>508</v>
      </c>
      <c r="H581" s="19" t="s">
        <v>505</v>
      </c>
      <c r="I581" s="46">
        <f>56-46</f>
        <v>10</v>
      </c>
      <c r="J581" s="46">
        <v>56</v>
      </c>
      <c r="K581" s="46">
        <v>56</v>
      </c>
      <c r="L581" s="1"/>
    </row>
    <row r="582" spans="1:12" ht="31.5" outlineLevel="5" x14ac:dyDescent="0.25">
      <c r="A582" s="18" t="s">
        <v>205</v>
      </c>
      <c r="B582" s="8"/>
      <c r="C582" s="8"/>
      <c r="D582" s="8"/>
      <c r="E582" s="19" t="s">
        <v>457</v>
      </c>
      <c r="F582" s="19" t="s">
        <v>492</v>
      </c>
      <c r="G582" s="19" t="s">
        <v>500</v>
      </c>
      <c r="H582" s="19" t="s">
        <v>500</v>
      </c>
      <c r="I582" s="46">
        <f>I583</f>
        <v>0</v>
      </c>
      <c r="J582" s="46">
        <f t="shared" ref="J582:K582" si="257">J583</f>
        <v>4</v>
      </c>
      <c r="K582" s="46">
        <f t="shared" si="257"/>
        <v>4</v>
      </c>
      <c r="L582" s="1"/>
    </row>
    <row r="583" spans="1:12" ht="31.5" outlineLevel="6" x14ac:dyDescent="0.25">
      <c r="A583" s="18" t="s">
        <v>45</v>
      </c>
      <c r="B583" s="8"/>
      <c r="C583" s="8"/>
      <c r="D583" s="8"/>
      <c r="E583" s="19" t="s">
        <v>457</v>
      </c>
      <c r="F583" s="19" t="s">
        <v>498</v>
      </c>
      <c r="G583" s="19" t="s">
        <v>508</v>
      </c>
      <c r="H583" s="19" t="s">
        <v>505</v>
      </c>
      <c r="I583" s="46">
        <f>4-4</f>
        <v>0</v>
      </c>
      <c r="J583" s="46">
        <v>4</v>
      </c>
      <c r="K583" s="46">
        <v>4</v>
      </c>
      <c r="L583" s="1"/>
    </row>
    <row r="584" spans="1:12" ht="51" customHeight="1" outlineLevel="5" x14ac:dyDescent="0.25">
      <c r="A584" s="18" t="s">
        <v>25</v>
      </c>
      <c r="B584" s="8"/>
      <c r="C584" s="8"/>
      <c r="D584" s="8"/>
      <c r="E584" s="19" t="s">
        <v>458</v>
      </c>
      <c r="F584" s="19" t="s">
        <v>492</v>
      </c>
      <c r="G584" s="19" t="s">
        <v>500</v>
      </c>
      <c r="H584" s="19" t="s">
        <v>500</v>
      </c>
      <c r="I584" s="46">
        <f>I585</f>
        <v>5816.3154999999997</v>
      </c>
      <c r="J584" s="46">
        <f t="shared" ref="J584:K584" si="258">J585</f>
        <v>5608.5</v>
      </c>
      <c r="K584" s="46">
        <f t="shared" si="258"/>
        <v>5608.5</v>
      </c>
      <c r="L584" s="1"/>
    </row>
    <row r="585" spans="1:12" ht="62.25" customHeight="1" outlineLevel="6" x14ac:dyDescent="0.25">
      <c r="A585" s="18" t="s">
        <v>189</v>
      </c>
      <c r="B585" s="8"/>
      <c r="C585" s="8"/>
      <c r="D585" s="8"/>
      <c r="E585" s="19" t="s">
        <v>459</v>
      </c>
      <c r="F585" s="19" t="s">
        <v>492</v>
      </c>
      <c r="G585" s="19" t="s">
        <v>500</v>
      </c>
      <c r="H585" s="19" t="s">
        <v>500</v>
      </c>
      <c r="I585" s="46">
        <f>I586+I587</f>
        <v>5816.3154999999997</v>
      </c>
      <c r="J585" s="46">
        <f t="shared" ref="J585:K585" si="259">J586+J587</f>
        <v>5608.5</v>
      </c>
      <c r="K585" s="46">
        <f t="shared" si="259"/>
        <v>5608.5</v>
      </c>
      <c r="L585" s="20"/>
    </row>
    <row r="586" spans="1:12" ht="113.25" customHeight="1" outlineLevel="2" x14ac:dyDescent="0.25">
      <c r="A586" s="18" t="s">
        <v>27</v>
      </c>
      <c r="B586" s="8"/>
      <c r="C586" s="8"/>
      <c r="D586" s="8"/>
      <c r="E586" s="19" t="s">
        <v>459</v>
      </c>
      <c r="F586" s="19" t="s">
        <v>494</v>
      </c>
      <c r="G586" s="19" t="s">
        <v>503</v>
      </c>
      <c r="H586" s="19" t="s">
        <v>504</v>
      </c>
      <c r="I586" s="46">
        <f>4156.7+103.9175+58.898</f>
        <v>4319.5154999999995</v>
      </c>
      <c r="J586" s="46">
        <v>4156.7</v>
      </c>
      <c r="K586" s="46">
        <v>4156.7</v>
      </c>
      <c r="L586" s="1"/>
    </row>
    <row r="587" spans="1:12" ht="47.25" outlineLevel="5" x14ac:dyDescent="0.25">
      <c r="A587" s="18" t="s">
        <v>30</v>
      </c>
      <c r="B587" s="8"/>
      <c r="C587" s="8"/>
      <c r="D587" s="8"/>
      <c r="E587" s="19" t="s">
        <v>459</v>
      </c>
      <c r="F587" s="19" t="s">
        <v>495</v>
      </c>
      <c r="G587" s="19" t="s">
        <v>503</v>
      </c>
      <c r="H587" s="19" t="s">
        <v>504</v>
      </c>
      <c r="I587" s="46">
        <f>1451.8+45</f>
        <v>1496.8</v>
      </c>
      <c r="J587" s="46">
        <v>1451.8</v>
      </c>
      <c r="K587" s="46">
        <v>1451.8</v>
      </c>
      <c r="L587" s="1"/>
    </row>
    <row r="588" spans="1:12" ht="48.75" customHeight="1" outlineLevel="4" x14ac:dyDescent="0.25">
      <c r="A588" s="29" t="s">
        <v>206</v>
      </c>
      <c r="B588" s="30"/>
      <c r="C588" s="30"/>
      <c r="D588" s="30"/>
      <c r="E588" s="31" t="s">
        <v>460</v>
      </c>
      <c r="F588" s="31" t="s">
        <v>492</v>
      </c>
      <c r="G588" s="31" t="s">
        <v>500</v>
      </c>
      <c r="H588" s="31" t="s">
        <v>500</v>
      </c>
      <c r="I588" s="44">
        <f>I589</f>
        <v>5845.5</v>
      </c>
      <c r="J588" s="44">
        <f t="shared" ref="J588:K588" si="260">J589</f>
        <v>5845.5</v>
      </c>
      <c r="K588" s="44">
        <f t="shared" si="260"/>
        <v>5845.5</v>
      </c>
      <c r="L588" s="1"/>
    </row>
    <row r="589" spans="1:12" ht="20.25" customHeight="1" outlineLevel="5" x14ac:dyDescent="0.25">
      <c r="A589" s="32" t="s">
        <v>24</v>
      </c>
      <c r="B589" s="8"/>
      <c r="C589" s="8"/>
      <c r="D589" s="8"/>
      <c r="E589" s="8" t="s">
        <v>461</v>
      </c>
      <c r="F589" s="8" t="s">
        <v>492</v>
      </c>
      <c r="G589" s="8" t="s">
        <v>500</v>
      </c>
      <c r="H589" s="8" t="s">
        <v>500</v>
      </c>
      <c r="I589" s="45">
        <f>I590+I593</f>
        <v>5845.5</v>
      </c>
      <c r="J589" s="45">
        <f t="shared" ref="J589:K589" si="261">J590+J593</f>
        <v>5845.5</v>
      </c>
      <c r="K589" s="45">
        <f t="shared" si="261"/>
        <v>5845.5</v>
      </c>
      <c r="L589" s="1"/>
    </row>
    <row r="590" spans="1:12" ht="47.25" customHeight="1" outlineLevel="6" x14ac:dyDescent="0.25">
      <c r="A590" s="18" t="s">
        <v>207</v>
      </c>
      <c r="B590" s="8"/>
      <c r="C590" s="8"/>
      <c r="D590" s="8"/>
      <c r="E590" s="19" t="s">
        <v>462</v>
      </c>
      <c r="F590" s="19" t="s">
        <v>492</v>
      </c>
      <c r="G590" s="19" t="s">
        <v>500</v>
      </c>
      <c r="H590" s="19" t="s">
        <v>500</v>
      </c>
      <c r="I590" s="46">
        <f>I591</f>
        <v>30</v>
      </c>
      <c r="J590" s="46">
        <f t="shared" ref="J590:K591" si="262">J591</f>
        <v>30</v>
      </c>
      <c r="K590" s="46">
        <f t="shared" si="262"/>
        <v>30</v>
      </c>
      <c r="L590" s="1"/>
    </row>
    <row r="591" spans="1:12" ht="47.25" outlineLevel="3" x14ac:dyDescent="0.25">
      <c r="A591" s="18" t="s">
        <v>208</v>
      </c>
      <c r="B591" s="8"/>
      <c r="C591" s="8"/>
      <c r="D591" s="8"/>
      <c r="E591" s="19" t="s">
        <v>463</v>
      </c>
      <c r="F591" s="19" t="s">
        <v>492</v>
      </c>
      <c r="G591" s="19" t="s">
        <v>500</v>
      </c>
      <c r="H591" s="19" t="s">
        <v>500</v>
      </c>
      <c r="I591" s="46">
        <f>I592</f>
        <v>30</v>
      </c>
      <c r="J591" s="46">
        <f t="shared" si="262"/>
        <v>30</v>
      </c>
      <c r="K591" s="46">
        <f t="shared" si="262"/>
        <v>30</v>
      </c>
      <c r="L591" s="1"/>
    </row>
    <row r="592" spans="1:12" ht="48.75" customHeight="1" outlineLevel="4" x14ac:dyDescent="0.25">
      <c r="A592" s="18" t="s">
        <v>30</v>
      </c>
      <c r="B592" s="8"/>
      <c r="C592" s="8"/>
      <c r="D592" s="8"/>
      <c r="E592" s="19" t="s">
        <v>463</v>
      </c>
      <c r="F592" s="19" t="s">
        <v>495</v>
      </c>
      <c r="G592" s="19" t="s">
        <v>503</v>
      </c>
      <c r="H592" s="19" t="s">
        <v>506</v>
      </c>
      <c r="I592" s="46">
        <v>30</v>
      </c>
      <c r="J592" s="46">
        <v>30</v>
      </c>
      <c r="K592" s="46">
        <v>30</v>
      </c>
      <c r="L592" s="1"/>
    </row>
    <row r="593" spans="1:12" ht="48" customHeight="1" outlineLevel="2" x14ac:dyDescent="0.25">
      <c r="A593" s="18" t="s">
        <v>209</v>
      </c>
      <c r="B593" s="8"/>
      <c r="C593" s="8"/>
      <c r="D593" s="8"/>
      <c r="E593" s="19" t="s">
        <v>464</v>
      </c>
      <c r="F593" s="19" t="s">
        <v>492</v>
      </c>
      <c r="G593" s="19" t="s">
        <v>500</v>
      </c>
      <c r="H593" s="19" t="s">
        <v>500</v>
      </c>
      <c r="I593" s="46">
        <f>I594+I596</f>
        <v>5815.5</v>
      </c>
      <c r="J593" s="46">
        <f t="shared" ref="J593:K593" si="263">J594+J596</f>
        <v>5815.5</v>
      </c>
      <c r="K593" s="46">
        <f t="shared" si="263"/>
        <v>5815.5</v>
      </c>
      <c r="L593" s="20"/>
    </row>
    <row r="594" spans="1:12" ht="63" outlineLevel="3" x14ac:dyDescent="0.25">
      <c r="A594" s="18" t="s">
        <v>210</v>
      </c>
      <c r="B594" s="8"/>
      <c r="C594" s="8"/>
      <c r="D594" s="8"/>
      <c r="E594" s="19" t="s">
        <v>465</v>
      </c>
      <c r="F594" s="19" t="s">
        <v>492</v>
      </c>
      <c r="G594" s="19" t="s">
        <v>500</v>
      </c>
      <c r="H594" s="19" t="s">
        <v>500</v>
      </c>
      <c r="I594" s="46">
        <f>I595</f>
        <v>22</v>
      </c>
      <c r="J594" s="46">
        <f t="shared" ref="J594:K594" si="264">J595</f>
        <v>22</v>
      </c>
      <c r="K594" s="46">
        <f t="shared" si="264"/>
        <v>22</v>
      </c>
      <c r="L594" s="1"/>
    </row>
    <row r="595" spans="1:12" ht="32.25" customHeight="1" outlineLevel="4" x14ac:dyDescent="0.25">
      <c r="A595" s="18" t="s">
        <v>45</v>
      </c>
      <c r="B595" s="8"/>
      <c r="C595" s="8"/>
      <c r="D595" s="8"/>
      <c r="E595" s="19" t="s">
        <v>465</v>
      </c>
      <c r="F595" s="19" t="s">
        <v>498</v>
      </c>
      <c r="G595" s="19" t="s">
        <v>503</v>
      </c>
      <c r="H595" s="19" t="s">
        <v>506</v>
      </c>
      <c r="I595" s="46">
        <v>22</v>
      </c>
      <c r="J595" s="46">
        <v>22</v>
      </c>
      <c r="K595" s="46">
        <v>22</v>
      </c>
      <c r="L595" s="4"/>
    </row>
    <row r="596" spans="1:12" ht="47.25" outlineLevel="4" x14ac:dyDescent="0.25">
      <c r="A596" s="18" t="s">
        <v>211</v>
      </c>
      <c r="B596" s="8"/>
      <c r="C596" s="8"/>
      <c r="D596" s="8"/>
      <c r="E596" s="19" t="s">
        <v>466</v>
      </c>
      <c r="F596" s="19" t="s">
        <v>492</v>
      </c>
      <c r="G596" s="19" t="s">
        <v>500</v>
      </c>
      <c r="H596" s="19" t="s">
        <v>500</v>
      </c>
      <c r="I596" s="46">
        <f>I597</f>
        <v>5793.5</v>
      </c>
      <c r="J596" s="46">
        <f t="shared" ref="J596:K596" si="265">J597</f>
        <v>5793.5</v>
      </c>
      <c r="K596" s="46">
        <f t="shared" si="265"/>
        <v>5793.5</v>
      </c>
      <c r="L596" s="1"/>
    </row>
    <row r="597" spans="1:12" ht="31.5" outlineLevel="5" x14ac:dyDescent="0.25">
      <c r="A597" s="18" t="s">
        <v>45</v>
      </c>
      <c r="B597" s="8"/>
      <c r="C597" s="8"/>
      <c r="D597" s="8"/>
      <c r="E597" s="19" t="s">
        <v>466</v>
      </c>
      <c r="F597" s="19" t="s">
        <v>498</v>
      </c>
      <c r="G597" s="19" t="s">
        <v>508</v>
      </c>
      <c r="H597" s="19" t="s">
        <v>503</v>
      </c>
      <c r="I597" s="46">
        <v>5793.5</v>
      </c>
      <c r="J597" s="46">
        <v>5793.5</v>
      </c>
      <c r="K597" s="46">
        <v>5793.5</v>
      </c>
      <c r="L597" s="1"/>
    </row>
    <row r="598" spans="1:12" ht="96" customHeight="1" outlineLevel="4" x14ac:dyDescent="0.25">
      <c r="A598" s="29" t="s">
        <v>212</v>
      </c>
      <c r="B598" s="30"/>
      <c r="C598" s="30"/>
      <c r="D598" s="30"/>
      <c r="E598" s="31" t="s">
        <v>467</v>
      </c>
      <c r="F598" s="31" t="s">
        <v>492</v>
      </c>
      <c r="G598" s="31" t="s">
        <v>500</v>
      </c>
      <c r="H598" s="31" t="s">
        <v>500</v>
      </c>
      <c r="I598" s="44">
        <f>I599</f>
        <v>19140.660000000003</v>
      </c>
      <c r="J598" s="44">
        <f t="shared" ref="J598:K598" si="266">J599</f>
        <v>17003.7</v>
      </c>
      <c r="K598" s="44">
        <f t="shared" si="266"/>
        <v>17003.7</v>
      </c>
      <c r="L598" s="1"/>
    </row>
    <row r="599" spans="1:12" ht="15.75" customHeight="1" outlineLevel="5" x14ac:dyDescent="0.25">
      <c r="A599" s="32" t="s">
        <v>24</v>
      </c>
      <c r="B599" s="8"/>
      <c r="C599" s="8"/>
      <c r="D599" s="8"/>
      <c r="E599" s="8" t="s">
        <v>468</v>
      </c>
      <c r="F599" s="8" t="s">
        <v>492</v>
      </c>
      <c r="G599" s="8" t="s">
        <v>500</v>
      </c>
      <c r="H599" s="8" t="s">
        <v>500</v>
      </c>
      <c r="I599" s="45">
        <f>I600+I605+I608+I611</f>
        <v>19140.660000000003</v>
      </c>
      <c r="J599" s="45">
        <f t="shared" ref="J599:K599" si="267">J600+J605+J608+J611</f>
        <v>17003.7</v>
      </c>
      <c r="K599" s="45">
        <f t="shared" si="267"/>
        <v>17003.7</v>
      </c>
      <c r="L599" s="1"/>
    </row>
    <row r="600" spans="1:12" ht="114.75" customHeight="1" outlineLevel="6" x14ac:dyDescent="0.25">
      <c r="A600" s="18" t="s">
        <v>213</v>
      </c>
      <c r="B600" s="8"/>
      <c r="C600" s="8"/>
      <c r="D600" s="8"/>
      <c r="E600" s="19" t="s">
        <v>469</v>
      </c>
      <c r="F600" s="19" t="s">
        <v>492</v>
      </c>
      <c r="G600" s="19" t="s">
        <v>500</v>
      </c>
      <c r="H600" s="19" t="s">
        <v>500</v>
      </c>
      <c r="I600" s="46">
        <f>I601</f>
        <v>17714.900000000001</v>
      </c>
      <c r="J600" s="46">
        <f t="shared" ref="J600:K600" si="268">J601</f>
        <v>15943.5</v>
      </c>
      <c r="K600" s="46">
        <f t="shared" si="268"/>
        <v>15943.5</v>
      </c>
      <c r="L600" s="1"/>
    </row>
    <row r="601" spans="1:12" ht="94.5" outlineLevel="6" x14ac:dyDescent="0.25">
      <c r="A601" s="18" t="s">
        <v>214</v>
      </c>
      <c r="B601" s="34"/>
      <c r="C601" s="8"/>
      <c r="D601" s="8"/>
      <c r="E601" s="19" t="s">
        <v>470</v>
      </c>
      <c r="F601" s="19" t="s">
        <v>492</v>
      </c>
      <c r="G601" s="19" t="s">
        <v>500</v>
      </c>
      <c r="H601" s="19" t="s">
        <v>500</v>
      </c>
      <c r="I601" s="46">
        <f>I602+I603+I604</f>
        <v>17714.900000000001</v>
      </c>
      <c r="J601" s="46">
        <f t="shared" ref="J601:K601" si="269">J602+J603+J604</f>
        <v>15943.5</v>
      </c>
      <c r="K601" s="46">
        <f t="shared" si="269"/>
        <v>15943.5</v>
      </c>
      <c r="L601" s="20"/>
    </row>
    <row r="602" spans="1:12" ht="111" customHeight="1" outlineLevel="6" x14ac:dyDescent="0.25">
      <c r="A602" s="18" t="s">
        <v>27</v>
      </c>
      <c r="B602" s="8"/>
      <c r="C602" s="8"/>
      <c r="D602" s="8"/>
      <c r="E602" s="19" t="s">
        <v>470</v>
      </c>
      <c r="F602" s="19" t="s">
        <v>494</v>
      </c>
      <c r="G602" s="19" t="s">
        <v>505</v>
      </c>
      <c r="H602" s="19" t="s">
        <v>508</v>
      </c>
      <c r="I602" s="46">
        <f>13291.1+330.3+186.2</f>
        <v>13807.6</v>
      </c>
      <c r="J602" s="46">
        <v>13291.1</v>
      </c>
      <c r="K602" s="46">
        <v>13291.1</v>
      </c>
      <c r="L602" s="1"/>
    </row>
    <row r="603" spans="1:12" ht="47.25" outlineLevel="5" x14ac:dyDescent="0.25">
      <c r="A603" s="18" t="s">
        <v>30</v>
      </c>
      <c r="B603" s="8"/>
      <c r="C603" s="8"/>
      <c r="D603" s="8"/>
      <c r="E603" s="19" t="s">
        <v>470</v>
      </c>
      <c r="F603" s="19" t="s">
        <v>495</v>
      </c>
      <c r="G603" s="19" t="s">
        <v>505</v>
      </c>
      <c r="H603" s="19" t="s">
        <v>508</v>
      </c>
      <c r="I603" s="46">
        <f>2635.4+1254.9</f>
        <v>3890.3</v>
      </c>
      <c r="J603" s="46">
        <v>2635.4</v>
      </c>
      <c r="K603" s="46">
        <v>2635.4</v>
      </c>
      <c r="L603" s="1"/>
    </row>
    <row r="604" spans="1:12" ht="18.75" customHeight="1" outlineLevel="4" x14ac:dyDescent="0.25">
      <c r="A604" s="18" t="s">
        <v>33</v>
      </c>
      <c r="B604" s="8"/>
      <c r="C604" s="8"/>
      <c r="D604" s="8"/>
      <c r="E604" s="19" t="s">
        <v>470</v>
      </c>
      <c r="F604" s="19" t="s">
        <v>496</v>
      </c>
      <c r="G604" s="19" t="s">
        <v>505</v>
      </c>
      <c r="H604" s="19" t="s">
        <v>508</v>
      </c>
      <c r="I604" s="46">
        <v>17</v>
      </c>
      <c r="J604" s="46">
        <v>17</v>
      </c>
      <c r="K604" s="46">
        <v>17</v>
      </c>
      <c r="L604" s="4"/>
    </row>
    <row r="605" spans="1:12" ht="78.75" outlineLevel="4" x14ac:dyDescent="0.25">
      <c r="A605" s="18" t="s">
        <v>215</v>
      </c>
      <c r="B605" s="8"/>
      <c r="C605" s="8"/>
      <c r="D605" s="8"/>
      <c r="E605" s="19" t="s">
        <v>471</v>
      </c>
      <c r="F605" s="19" t="s">
        <v>492</v>
      </c>
      <c r="G605" s="19" t="s">
        <v>500</v>
      </c>
      <c r="H605" s="19" t="s">
        <v>500</v>
      </c>
      <c r="I605" s="46">
        <f>I606</f>
        <v>512.55999999999995</v>
      </c>
      <c r="J605" s="46">
        <f t="shared" ref="J605:K606" si="270">J606</f>
        <v>147</v>
      </c>
      <c r="K605" s="46">
        <f t="shared" si="270"/>
        <v>147</v>
      </c>
      <c r="L605" s="1"/>
    </row>
    <row r="606" spans="1:12" ht="47.25" outlineLevel="5" x14ac:dyDescent="0.25">
      <c r="A606" s="18" t="s">
        <v>216</v>
      </c>
      <c r="B606" s="8"/>
      <c r="C606" s="8"/>
      <c r="D606" s="8"/>
      <c r="E606" s="19" t="s">
        <v>472</v>
      </c>
      <c r="F606" s="19" t="s">
        <v>492</v>
      </c>
      <c r="G606" s="19" t="s">
        <v>500</v>
      </c>
      <c r="H606" s="19" t="s">
        <v>500</v>
      </c>
      <c r="I606" s="46">
        <f>I607</f>
        <v>512.55999999999995</v>
      </c>
      <c r="J606" s="46">
        <f t="shared" si="270"/>
        <v>147</v>
      </c>
      <c r="K606" s="46">
        <f t="shared" si="270"/>
        <v>147</v>
      </c>
      <c r="L606" s="1"/>
    </row>
    <row r="607" spans="1:12" ht="47.25" outlineLevel="6" x14ac:dyDescent="0.25">
      <c r="A607" s="18" t="s">
        <v>30</v>
      </c>
      <c r="B607" s="8"/>
      <c r="C607" s="8"/>
      <c r="D607" s="8"/>
      <c r="E607" s="19" t="s">
        <v>472</v>
      </c>
      <c r="F607" s="19" t="s">
        <v>495</v>
      </c>
      <c r="G607" s="19" t="s">
        <v>505</v>
      </c>
      <c r="H607" s="19" t="s">
        <v>508</v>
      </c>
      <c r="I607" s="46">
        <f>147+365.56</f>
        <v>512.55999999999995</v>
      </c>
      <c r="J607" s="46">
        <v>147</v>
      </c>
      <c r="K607" s="46">
        <v>147</v>
      </c>
      <c r="L607" s="1"/>
    </row>
    <row r="608" spans="1:12" ht="65.25" customHeight="1" outlineLevel="2" x14ac:dyDescent="0.25">
      <c r="A608" s="18" t="s">
        <v>217</v>
      </c>
      <c r="B608" s="8"/>
      <c r="C608" s="8"/>
      <c r="D608" s="8"/>
      <c r="E608" s="19" t="s">
        <v>473</v>
      </c>
      <c r="F608" s="19" t="s">
        <v>492</v>
      </c>
      <c r="G608" s="19" t="s">
        <v>500</v>
      </c>
      <c r="H608" s="19" t="s">
        <v>500</v>
      </c>
      <c r="I608" s="46">
        <f>I609</f>
        <v>35</v>
      </c>
      <c r="J608" s="46">
        <f t="shared" ref="J608:K609" si="271">J609</f>
        <v>35</v>
      </c>
      <c r="K608" s="46">
        <f t="shared" si="271"/>
        <v>35</v>
      </c>
      <c r="L608" s="1"/>
    </row>
    <row r="609" spans="1:12" ht="127.5" customHeight="1" outlineLevel="3" x14ac:dyDescent="0.25">
      <c r="A609" s="18" t="s">
        <v>218</v>
      </c>
      <c r="B609" s="8"/>
      <c r="C609" s="8"/>
      <c r="D609" s="8"/>
      <c r="E609" s="19" t="s">
        <v>474</v>
      </c>
      <c r="F609" s="19" t="s">
        <v>492</v>
      </c>
      <c r="G609" s="19" t="s">
        <v>500</v>
      </c>
      <c r="H609" s="19" t="s">
        <v>500</v>
      </c>
      <c r="I609" s="46">
        <f>I610</f>
        <v>35</v>
      </c>
      <c r="J609" s="46">
        <f t="shared" si="271"/>
        <v>35</v>
      </c>
      <c r="K609" s="46">
        <f t="shared" si="271"/>
        <v>35</v>
      </c>
      <c r="L609" s="1"/>
    </row>
    <row r="610" spans="1:12" ht="47.25" outlineLevel="4" x14ac:dyDescent="0.25">
      <c r="A610" s="18" t="s">
        <v>30</v>
      </c>
      <c r="B610" s="8"/>
      <c r="C610" s="8"/>
      <c r="D610" s="8"/>
      <c r="E610" s="19" t="s">
        <v>474</v>
      </c>
      <c r="F610" s="19" t="s">
        <v>495</v>
      </c>
      <c r="G610" s="19" t="s">
        <v>505</v>
      </c>
      <c r="H610" s="19" t="s">
        <v>508</v>
      </c>
      <c r="I610" s="46">
        <v>35</v>
      </c>
      <c r="J610" s="46">
        <v>35</v>
      </c>
      <c r="K610" s="46">
        <v>35</v>
      </c>
      <c r="L610" s="1"/>
    </row>
    <row r="611" spans="1:12" ht="47.25" customHeight="1" outlineLevel="3" x14ac:dyDescent="0.25">
      <c r="A611" s="18" t="s">
        <v>219</v>
      </c>
      <c r="B611" s="8"/>
      <c r="C611" s="8"/>
      <c r="D611" s="8"/>
      <c r="E611" s="19" t="s">
        <v>475</v>
      </c>
      <c r="F611" s="19" t="s">
        <v>492</v>
      </c>
      <c r="G611" s="19" t="s">
        <v>500</v>
      </c>
      <c r="H611" s="19" t="s">
        <v>500</v>
      </c>
      <c r="I611" s="46">
        <f>I612</f>
        <v>878.2</v>
      </c>
      <c r="J611" s="46">
        <f t="shared" ref="J611:K611" si="272">J612</f>
        <v>878.2</v>
      </c>
      <c r="K611" s="46">
        <f t="shared" si="272"/>
        <v>878.2</v>
      </c>
      <c r="L611" s="1"/>
    </row>
    <row r="612" spans="1:12" ht="36.75" customHeight="1" outlineLevel="4" x14ac:dyDescent="0.25">
      <c r="A612" s="18" t="s">
        <v>516</v>
      </c>
      <c r="B612" s="8"/>
      <c r="C612" s="8"/>
      <c r="D612" s="8"/>
      <c r="E612" s="19" t="s">
        <v>476</v>
      </c>
      <c r="F612" s="19" t="s">
        <v>492</v>
      </c>
      <c r="G612" s="19" t="s">
        <v>500</v>
      </c>
      <c r="H612" s="19" t="s">
        <v>500</v>
      </c>
      <c r="I612" s="46">
        <f>I613</f>
        <v>878.2</v>
      </c>
      <c r="J612" s="46">
        <f t="shared" ref="J612:K612" si="273">J613</f>
        <v>878.2</v>
      </c>
      <c r="K612" s="46">
        <f t="shared" si="273"/>
        <v>878.2</v>
      </c>
      <c r="L612" s="1"/>
    </row>
    <row r="613" spans="1:12" ht="47.25" outlineLevel="5" x14ac:dyDescent="0.25">
      <c r="A613" s="18" t="s">
        <v>30</v>
      </c>
      <c r="B613" s="8"/>
      <c r="C613" s="8"/>
      <c r="D613" s="8"/>
      <c r="E613" s="19" t="s">
        <v>476</v>
      </c>
      <c r="F613" s="19" t="s">
        <v>495</v>
      </c>
      <c r="G613" s="19" t="s">
        <v>505</v>
      </c>
      <c r="H613" s="19" t="s">
        <v>508</v>
      </c>
      <c r="I613" s="46">
        <v>878.2</v>
      </c>
      <c r="J613" s="46">
        <v>878.2</v>
      </c>
      <c r="K613" s="46">
        <v>878.2</v>
      </c>
      <c r="L613" s="1"/>
    </row>
    <row r="614" spans="1:12" ht="52.5" customHeight="1" outlineLevel="2" x14ac:dyDescent="0.25">
      <c r="A614" s="29" t="s">
        <v>220</v>
      </c>
      <c r="B614" s="30"/>
      <c r="C614" s="30"/>
      <c r="D614" s="30"/>
      <c r="E614" s="31" t="s">
        <v>477</v>
      </c>
      <c r="F614" s="31" t="s">
        <v>492</v>
      </c>
      <c r="G614" s="31" t="s">
        <v>500</v>
      </c>
      <c r="H614" s="31" t="s">
        <v>500</v>
      </c>
      <c r="I614" s="44">
        <f>I615</f>
        <v>192987.76548</v>
      </c>
      <c r="J614" s="44">
        <f t="shared" ref="J614:K615" si="274">J615</f>
        <v>68739.799999999988</v>
      </c>
      <c r="K614" s="44">
        <f t="shared" si="274"/>
        <v>0</v>
      </c>
      <c r="L614" s="1"/>
    </row>
    <row r="615" spans="1:12" ht="84" customHeight="1" outlineLevel="3" x14ac:dyDescent="0.25">
      <c r="A615" s="32" t="s">
        <v>17</v>
      </c>
      <c r="B615" s="8"/>
      <c r="C615" s="8"/>
      <c r="D615" s="8"/>
      <c r="E615" s="8" t="s">
        <v>478</v>
      </c>
      <c r="F615" s="8" t="s">
        <v>492</v>
      </c>
      <c r="G615" s="8" t="s">
        <v>500</v>
      </c>
      <c r="H615" s="8" t="s">
        <v>500</v>
      </c>
      <c r="I615" s="45">
        <f>I616</f>
        <v>192987.76548</v>
      </c>
      <c r="J615" s="45">
        <f t="shared" si="274"/>
        <v>68739.799999999988</v>
      </c>
      <c r="K615" s="45">
        <f t="shared" si="274"/>
        <v>0</v>
      </c>
      <c r="L615" s="1"/>
    </row>
    <row r="616" spans="1:12" ht="48.75" customHeight="1" outlineLevel="4" x14ac:dyDescent="0.25">
      <c r="A616" s="18" t="s">
        <v>221</v>
      </c>
      <c r="B616" s="8"/>
      <c r="C616" s="8"/>
      <c r="D616" s="8"/>
      <c r="E616" s="19" t="s">
        <v>479</v>
      </c>
      <c r="F616" s="19" t="s">
        <v>492</v>
      </c>
      <c r="G616" s="19" t="s">
        <v>500</v>
      </c>
      <c r="H616" s="19" t="s">
        <v>500</v>
      </c>
      <c r="I616" s="46">
        <f>I621+I624+I617+I619</f>
        <v>192987.76548</v>
      </c>
      <c r="J616" s="46">
        <f t="shared" ref="J616:K616" si="275">J621+J624</f>
        <v>68739.799999999988</v>
      </c>
      <c r="K616" s="46">
        <f t="shared" si="275"/>
        <v>0</v>
      </c>
      <c r="L616" s="1"/>
    </row>
    <row r="617" spans="1:12" ht="96" customHeight="1" outlineLevel="4" x14ac:dyDescent="0.25">
      <c r="A617" s="18" t="s">
        <v>599</v>
      </c>
      <c r="B617" s="8"/>
      <c r="C617" s="8"/>
      <c r="D617" s="8"/>
      <c r="E617" s="43" t="s">
        <v>598</v>
      </c>
      <c r="F617" s="43" t="s">
        <v>492</v>
      </c>
      <c r="G617" s="43" t="s">
        <v>500</v>
      </c>
      <c r="H617" s="43" t="s">
        <v>500</v>
      </c>
      <c r="I617" s="46">
        <f>I618</f>
        <v>106000</v>
      </c>
      <c r="J617" s="46">
        <f t="shared" ref="J617:K617" si="276">J618</f>
        <v>0</v>
      </c>
      <c r="K617" s="46">
        <f t="shared" si="276"/>
        <v>0</v>
      </c>
      <c r="L617" s="1"/>
    </row>
    <row r="618" spans="1:12" ht="47.25" customHeight="1" outlineLevel="4" x14ac:dyDescent="0.25">
      <c r="A618" s="18" t="s">
        <v>36</v>
      </c>
      <c r="B618" s="8"/>
      <c r="C618" s="8"/>
      <c r="D618" s="8"/>
      <c r="E618" s="43" t="s">
        <v>598</v>
      </c>
      <c r="F618" s="43">
        <v>600</v>
      </c>
      <c r="G618" s="33" t="s">
        <v>501</v>
      </c>
      <c r="H618" s="33" t="s">
        <v>505</v>
      </c>
      <c r="I618" s="46">
        <v>106000</v>
      </c>
      <c r="J618" s="46">
        <v>0</v>
      </c>
      <c r="K618" s="46">
        <v>0</v>
      </c>
      <c r="L618" s="1"/>
    </row>
    <row r="619" spans="1:12" ht="96.75" customHeight="1" outlineLevel="4" x14ac:dyDescent="0.25">
      <c r="A619" s="18" t="s">
        <v>599</v>
      </c>
      <c r="B619" s="8"/>
      <c r="C619" s="8"/>
      <c r="D619" s="8"/>
      <c r="E619" s="33" t="s">
        <v>610</v>
      </c>
      <c r="F619" s="43" t="s">
        <v>492</v>
      </c>
      <c r="G619" s="43" t="s">
        <v>500</v>
      </c>
      <c r="H619" s="43" t="s">
        <v>500</v>
      </c>
      <c r="I619" s="46">
        <f>I620</f>
        <v>20999.265480000002</v>
      </c>
      <c r="J619" s="46">
        <f t="shared" ref="J619:K619" si="277">J620</f>
        <v>0</v>
      </c>
      <c r="K619" s="46">
        <f t="shared" si="277"/>
        <v>0</v>
      </c>
      <c r="L619" s="1"/>
    </row>
    <row r="620" spans="1:12" ht="47.25" customHeight="1" outlineLevel="4" x14ac:dyDescent="0.25">
      <c r="A620" s="18" t="s">
        <v>36</v>
      </c>
      <c r="B620" s="8"/>
      <c r="C620" s="8"/>
      <c r="D620" s="8"/>
      <c r="E620" s="33" t="s">
        <v>610</v>
      </c>
      <c r="F620" s="43">
        <v>600</v>
      </c>
      <c r="G620" s="33" t="s">
        <v>501</v>
      </c>
      <c r="H620" s="33" t="s">
        <v>505</v>
      </c>
      <c r="I620" s="46">
        <f>12600+8399.26548</f>
        <v>20999.265480000002</v>
      </c>
      <c r="J620" s="46">
        <v>0</v>
      </c>
      <c r="K620" s="46">
        <v>0</v>
      </c>
      <c r="L620" s="1"/>
    </row>
    <row r="621" spans="1:12" ht="47.25" outlineLevel="5" x14ac:dyDescent="0.25">
      <c r="A621" s="18" t="s">
        <v>222</v>
      </c>
      <c r="B621" s="8"/>
      <c r="C621" s="8"/>
      <c r="D621" s="8"/>
      <c r="E621" s="19" t="s">
        <v>480</v>
      </c>
      <c r="F621" s="19" t="s">
        <v>492</v>
      </c>
      <c r="G621" s="19" t="s">
        <v>500</v>
      </c>
      <c r="H621" s="19" t="s">
        <v>500</v>
      </c>
      <c r="I621" s="46">
        <f>I622+I623</f>
        <v>61882.200000000004</v>
      </c>
      <c r="J621" s="46">
        <f t="shared" ref="J621:K621" si="278">J622+J623</f>
        <v>68739.799999999988</v>
      </c>
      <c r="K621" s="46">
        <f t="shared" si="278"/>
        <v>0</v>
      </c>
      <c r="L621" s="1"/>
    </row>
    <row r="622" spans="1:12" ht="47.25" outlineLevel="6" x14ac:dyDescent="0.25">
      <c r="A622" s="18" t="s">
        <v>30</v>
      </c>
      <c r="B622" s="8"/>
      <c r="C622" s="8"/>
      <c r="D622" s="8"/>
      <c r="E622" s="19" t="s">
        <v>480</v>
      </c>
      <c r="F622" s="19" t="s">
        <v>495</v>
      </c>
      <c r="G622" s="19" t="s">
        <v>501</v>
      </c>
      <c r="H622" s="19" t="s">
        <v>505</v>
      </c>
      <c r="I622" s="46">
        <v>0</v>
      </c>
      <c r="J622" s="46">
        <v>5960</v>
      </c>
      <c r="K622" s="46">
        <v>0</v>
      </c>
      <c r="L622" s="1"/>
    </row>
    <row r="623" spans="1:12" ht="47.25" customHeight="1" outlineLevel="5" x14ac:dyDescent="0.25">
      <c r="A623" s="18" t="s">
        <v>36</v>
      </c>
      <c r="B623" s="8"/>
      <c r="C623" s="8"/>
      <c r="D623" s="8"/>
      <c r="E623" s="19" t="s">
        <v>480</v>
      </c>
      <c r="F623" s="19" t="s">
        <v>497</v>
      </c>
      <c r="G623" s="19" t="s">
        <v>501</v>
      </c>
      <c r="H623" s="19" t="s">
        <v>505</v>
      </c>
      <c r="I623" s="46">
        <f>59876.1+1905.8+100.3</f>
        <v>61882.200000000004</v>
      </c>
      <c r="J623" s="46">
        <f>60569.2+2100.1+110.5</f>
        <v>62779.799999999996</v>
      </c>
      <c r="K623" s="46">
        <v>0</v>
      </c>
      <c r="L623" s="1"/>
    </row>
    <row r="624" spans="1:12" ht="47.25" outlineLevel="3" x14ac:dyDescent="0.25">
      <c r="A624" s="18" t="s">
        <v>222</v>
      </c>
      <c r="B624" s="8"/>
      <c r="C624" s="8"/>
      <c r="D624" s="8"/>
      <c r="E624" s="19" t="s">
        <v>481</v>
      </c>
      <c r="F624" s="19" t="s">
        <v>492</v>
      </c>
      <c r="G624" s="19" t="s">
        <v>500</v>
      </c>
      <c r="H624" s="19" t="s">
        <v>500</v>
      </c>
      <c r="I624" s="46">
        <f>I625</f>
        <v>4106.3</v>
      </c>
      <c r="J624" s="46">
        <f t="shared" ref="J624:K624" si="279">J625</f>
        <v>0</v>
      </c>
      <c r="K624" s="46">
        <f t="shared" si="279"/>
        <v>0</v>
      </c>
      <c r="L624" s="1"/>
    </row>
    <row r="625" spans="1:12" ht="50.25" customHeight="1" outlineLevel="4" x14ac:dyDescent="0.25">
      <c r="A625" s="18" t="s">
        <v>36</v>
      </c>
      <c r="B625" s="8"/>
      <c r="C625" s="8"/>
      <c r="D625" s="8"/>
      <c r="E625" s="19" t="s">
        <v>481</v>
      </c>
      <c r="F625" s="19" t="s">
        <v>497</v>
      </c>
      <c r="G625" s="19" t="s">
        <v>501</v>
      </c>
      <c r="H625" s="19" t="s">
        <v>505</v>
      </c>
      <c r="I625" s="46">
        <v>4106.3</v>
      </c>
      <c r="J625" s="46">
        <v>0</v>
      </c>
      <c r="K625" s="46">
        <v>0</v>
      </c>
      <c r="L625" s="1"/>
    </row>
    <row r="626" spans="1:12" ht="99.75" customHeight="1" outlineLevel="3" x14ac:dyDescent="0.25">
      <c r="A626" s="29" t="s">
        <v>223</v>
      </c>
      <c r="B626" s="30"/>
      <c r="C626" s="30"/>
      <c r="D626" s="30"/>
      <c r="E626" s="31" t="s">
        <v>482</v>
      </c>
      <c r="F626" s="31" t="s">
        <v>492</v>
      </c>
      <c r="G626" s="31" t="s">
        <v>500</v>
      </c>
      <c r="H626" s="31" t="s">
        <v>500</v>
      </c>
      <c r="I626" s="44">
        <f>I627</f>
        <v>50</v>
      </c>
      <c r="J626" s="44">
        <f t="shared" ref="J626:K628" si="280">J627</f>
        <v>624.70000000000005</v>
      </c>
      <c r="K626" s="44">
        <f t="shared" si="280"/>
        <v>50</v>
      </c>
      <c r="L626" s="1"/>
    </row>
    <row r="627" spans="1:12" ht="17.25" customHeight="1" outlineLevel="4" x14ac:dyDescent="0.25">
      <c r="A627" s="32" t="s">
        <v>24</v>
      </c>
      <c r="B627" s="8"/>
      <c r="C627" s="8"/>
      <c r="D627" s="8"/>
      <c r="E627" s="8" t="s">
        <v>483</v>
      </c>
      <c r="F627" s="8" t="s">
        <v>492</v>
      </c>
      <c r="G627" s="8" t="s">
        <v>500</v>
      </c>
      <c r="H627" s="8" t="s">
        <v>500</v>
      </c>
      <c r="I627" s="45">
        <f>I628</f>
        <v>50</v>
      </c>
      <c r="J627" s="45">
        <f t="shared" si="280"/>
        <v>624.70000000000005</v>
      </c>
      <c r="K627" s="45">
        <f t="shared" si="280"/>
        <v>50</v>
      </c>
      <c r="L627" s="1"/>
    </row>
    <row r="628" spans="1:12" ht="110.25" outlineLevel="5" x14ac:dyDescent="0.25">
      <c r="A628" s="18" t="s">
        <v>224</v>
      </c>
      <c r="B628" s="8"/>
      <c r="C628" s="8"/>
      <c r="D628" s="8"/>
      <c r="E628" s="19" t="s">
        <v>484</v>
      </c>
      <c r="F628" s="19" t="s">
        <v>492</v>
      </c>
      <c r="G628" s="19" t="s">
        <v>500</v>
      </c>
      <c r="H628" s="19" t="s">
        <v>500</v>
      </c>
      <c r="I628" s="46">
        <f>I629</f>
        <v>50</v>
      </c>
      <c r="J628" s="46">
        <f>J629+J631+J633</f>
        <v>624.70000000000005</v>
      </c>
      <c r="K628" s="46">
        <f t="shared" si="280"/>
        <v>50</v>
      </c>
      <c r="L628" s="1"/>
    </row>
    <row r="629" spans="1:12" ht="94.5" outlineLevel="6" x14ac:dyDescent="0.25">
      <c r="A629" s="18" t="s">
        <v>225</v>
      </c>
      <c r="B629" s="8"/>
      <c r="C629" s="8"/>
      <c r="D629" s="8"/>
      <c r="E629" s="19" t="s">
        <v>485</v>
      </c>
      <c r="F629" s="19" t="s">
        <v>492</v>
      </c>
      <c r="G629" s="19" t="s">
        <v>500</v>
      </c>
      <c r="H629" s="19" t="s">
        <v>500</v>
      </c>
      <c r="I629" s="46">
        <f>I630</f>
        <v>50</v>
      </c>
      <c r="J629" s="46">
        <f t="shared" ref="J629:K629" si="281">J630</f>
        <v>50</v>
      </c>
      <c r="K629" s="46">
        <f t="shared" si="281"/>
        <v>50</v>
      </c>
      <c r="L629" s="1"/>
    </row>
    <row r="630" spans="1:12" ht="49.5" customHeight="1" outlineLevel="4" x14ac:dyDescent="0.25">
      <c r="A630" s="18" t="s">
        <v>36</v>
      </c>
      <c r="B630" s="8"/>
      <c r="C630" s="8"/>
      <c r="D630" s="8"/>
      <c r="E630" s="19" t="s">
        <v>485</v>
      </c>
      <c r="F630" s="19" t="s">
        <v>497</v>
      </c>
      <c r="G630" s="19" t="s">
        <v>505</v>
      </c>
      <c r="H630" s="19" t="s">
        <v>514</v>
      </c>
      <c r="I630" s="46">
        <v>50</v>
      </c>
      <c r="J630" s="46">
        <v>50</v>
      </c>
      <c r="K630" s="46">
        <v>50</v>
      </c>
      <c r="L630" s="1"/>
    </row>
    <row r="631" spans="1:12" ht="96" customHeight="1" outlineLevel="4" x14ac:dyDescent="0.25">
      <c r="A631" s="40" t="s">
        <v>586</v>
      </c>
      <c r="B631" s="34"/>
      <c r="C631" s="8"/>
      <c r="D631" s="8"/>
      <c r="E631" s="19">
        <v>1640171680</v>
      </c>
      <c r="F631" s="19" t="s">
        <v>492</v>
      </c>
      <c r="G631" s="19" t="s">
        <v>500</v>
      </c>
      <c r="H631" s="19" t="s">
        <v>500</v>
      </c>
      <c r="I631" s="46">
        <f>I632</f>
        <v>0</v>
      </c>
      <c r="J631" s="46">
        <f t="shared" ref="J631:K631" si="282">J632</f>
        <v>500</v>
      </c>
      <c r="K631" s="46">
        <f t="shared" si="282"/>
        <v>0</v>
      </c>
      <c r="L631" s="1"/>
    </row>
    <row r="632" spans="1:12" ht="49.5" customHeight="1" outlineLevel="4" x14ac:dyDescent="0.25">
      <c r="A632" s="18" t="s">
        <v>36</v>
      </c>
      <c r="B632" s="8"/>
      <c r="C632" s="8"/>
      <c r="D632" s="8"/>
      <c r="E632" s="19">
        <v>1640171680</v>
      </c>
      <c r="F632" s="19" t="s">
        <v>497</v>
      </c>
      <c r="G632" s="19" t="s">
        <v>505</v>
      </c>
      <c r="H632" s="19" t="s">
        <v>514</v>
      </c>
      <c r="I632" s="46">
        <v>0</v>
      </c>
      <c r="J632" s="46">
        <v>500</v>
      </c>
      <c r="K632" s="46">
        <v>0</v>
      </c>
      <c r="L632" s="1"/>
    </row>
    <row r="633" spans="1:12" ht="95.25" customHeight="1" outlineLevel="4" x14ac:dyDescent="0.25">
      <c r="A633" s="40" t="s">
        <v>586</v>
      </c>
      <c r="B633" s="34"/>
      <c r="C633" s="8"/>
      <c r="D633" s="8"/>
      <c r="E633" s="19" t="s">
        <v>594</v>
      </c>
      <c r="F633" s="19" t="s">
        <v>492</v>
      </c>
      <c r="G633" s="19" t="s">
        <v>500</v>
      </c>
      <c r="H633" s="19" t="s">
        <v>500</v>
      </c>
      <c r="I633" s="46">
        <f>I634</f>
        <v>0</v>
      </c>
      <c r="J633" s="46">
        <f t="shared" ref="J633:K633" si="283">J634</f>
        <v>74.7</v>
      </c>
      <c r="K633" s="46">
        <f t="shared" si="283"/>
        <v>0</v>
      </c>
      <c r="L633" s="1"/>
    </row>
    <row r="634" spans="1:12" ht="49.5" customHeight="1" outlineLevel="4" x14ac:dyDescent="0.25">
      <c r="A634" s="18" t="s">
        <v>36</v>
      </c>
      <c r="B634" s="8"/>
      <c r="C634" s="8"/>
      <c r="D634" s="8"/>
      <c r="E634" s="19" t="s">
        <v>594</v>
      </c>
      <c r="F634" s="19" t="s">
        <v>497</v>
      </c>
      <c r="G634" s="19" t="s">
        <v>505</v>
      </c>
      <c r="H634" s="19" t="s">
        <v>514</v>
      </c>
      <c r="I634" s="46">
        <v>0</v>
      </c>
      <c r="J634" s="46">
        <v>74.7</v>
      </c>
      <c r="K634" s="46">
        <v>0</v>
      </c>
      <c r="L634" s="1"/>
    </row>
    <row r="635" spans="1:12" ht="49.5" customHeight="1" outlineLevel="4" x14ac:dyDescent="0.25">
      <c r="A635" s="18" t="s">
        <v>634</v>
      </c>
      <c r="B635" s="8"/>
      <c r="C635" s="8"/>
      <c r="D635" s="8"/>
      <c r="E635" s="19" t="s">
        <v>638</v>
      </c>
      <c r="F635" s="19" t="s">
        <v>492</v>
      </c>
      <c r="G635" s="19" t="s">
        <v>500</v>
      </c>
      <c r="H635" s="19" t="s">
        <v>500</v>
      </c>
      <c r="I635" s="46">
        <f>I636</f>
        <v>0</v>
      </c>
      <c r="J635" s="46">
        <f t="shared" ref="J635:K638" si="284">J636</f>
        <v>1535.1</v>
      </c>
      <c r="K635" s="46">
        <f t="shared" si="284"/>
        <v>1493.6</v>
      </c>
      <c r="L635" s="1"/>
    </row>
    <row r="636" spans="1:12" ht="37.5" customHeight="1" outlineLevel="4" x14ac:dyDescent="0.25">
      <c r="A636" s="18" t="s">
        <v>635</v>
      </c>
      <c r="B636" s="8"/>
      <c r="C636" s="8"/>
      <c r="D636" s="8"/>
      <c r="E636" s="19" t="s">
        <v>639</v>
      </c>
      <c r="F636" s="19" t="s">
        <v>492</v>
      </c>
      <c r="G636" s="19" t="s">
        <v>500</v>
      </c>
      <c r="H636" s="19" t="s">
        <v>500</v>
      </c>
      <c r="I636" s="46">
        <f>I637</f>
        <v>0</v>
      </c>
      <c r="J636" s="46">
        <f t="shared" si="284"/>
        <v>1535.1</v>
      </c>
      <c r="K636" s="46">
        <f t="shared" si="284"/>
        <v>1493.6</v>
      </c>
      <c r="L636" s="1"/>
    </row>
    <row r="637" spans="1:12" ht="96.75" customHeight="1" outlineLevel="4" x14ac:dyDescent="0.25">
      <c r="A637" s="18" t="s">
        <v>642</v>
      </c>
      <c r="B637" s="8"/>
      <c r="C637" s="8"/>
      <c r="D637" s="8"/>
      <c r="E637" s="19" t="s">
        <v>640</v>
      </c>
      <c r="F637" s="19" t="s">
        <v>492</v>
      </c>
      <c r="G637" s="19" t="s">
        <v>500</v>
      </c>
      <c r="H637" s="19" t="s">
        <v>500</v>
      </c>
      <c r="I637" s="46">
        <f>I638</f>
        <v>0</v>
      </c>
      <c r="J637" s="46">
        <f t="shared" si="284"/>
        <v>1535.1</v>
      </c>
      <c r="K637" s="46">
        <f t="shared" si="284"/>
        <v>1493.6</v>
      </c>
      <c r="L637" s="1"/>
    </row>
    <row r="638" spans="1:12" ht="34.5" customHeight="1" outlineLevel="4" x14ac:dyDescent="0.25">
      <c r="A638" s="18" t="s">
        <v>636</v>
      </c>
      <c r="B638" s="8"/>
      <c r="C638" s="8"/>
      <c r="D638" s="8"/>
      <c r="E638" s="19" t="s">
        <v>641</v>
      </c>
      <c r="F638" s="19" t="s">
        <v>492</v>
      </c>
      <c r="G638" s="19" t="s">
        <v>500</v>
      </c>
      <c r="H638" s="19" t="s">
        <v>500</v>
      </c>
      <c r="I638" s="46">
        <f>I639</f>
        <v>0</v>
      </c>
      <c r="J638" s="46">
        <f t="shared" si="284"/>
        <v>1535.1</v>
      </c>
      <c r="K638" s="46">
        <f t="shared" si="284"/>
        <v>1493.6</v>
      </c>
      <c r="L638" s="1"/>
    </row>
    <row r="639" spans="1:12" ht="49.5" customHeight="1" outlineLevel="4" x14ac:dyDescent="0.25">
      <c r="A639" s="18" t="s">
        <v>637</v>
      </c>
      <c r="B639" s="8"/>
      <c r="C639" s="8"/>
      <c r="D639" s="8"/>
      <c r="E639" s="19" t="s">
        <v>641</v>
      </c>
      <c r="F639" s="19">
        <v>600</v>
      </c>
      <c r="G639" s="33" t="s">
        <v>510</v>
      </c>
      <c r="H639" s="33" t="s">
        <v>502</v>
      </c>
      <c r="I639" s="46">
        <v>0</v>
      </c>
      <c r="J639" s="46">
        <v>1535.1</v>
      </c>
      <c r="K639" s="46">
        <v>1493.6</v>
      </c>
      <c r="L639" s="1"/>
    </row>
    <row r="640" spans="1:12" ht="31.5" outlineLevel="3" x14ac:dyDescent="0.25">
      <c r="A640" s="29" t="s">
        <v>226</v>
      </c>
      <c r="B640" s="30"/>
      <c r="C640" s="30"/>
      <c r="D640" s="30"/>
      <c r="E640" s="31" t="s">
        <v>486</v>
      </c>
      <c r="F640" s="31" t="s">
        <v>492</v>
      </c>
      <c r="G640" s="31" t="s">
        <v>500</v>
      </c>
      <c r="H640" s="31" t="s">
        <v>500</v>
      </c>
      <c r="I640" s="44">
        <f>I641</f>
        <v>244649.02590000001</v>
      </c>
      <c r="J640" s="44">
        <f t="shared" ref="J640:K640" si="285">J641</f>
        <v>37388.760999999999</v>
      </c>
      <c r="K640" s="44">
        <f t="shared" si="285"/>
        <v>32945.905999999995</v>
      </c>
      <c r="L640" s="1"/>
    </row>
    <row r="641" spans="1:12" ht="21.75" customHeight="1" outlineLevel="4" x14ac:dyDescent="0.25">
      <c r="A641" s="32" t="s">
        <v>227</v>
      </c>
      <c r="B641" s="8"/>
      <c r="C641" s="8"/>
      <c r="D641" s="8"/>
      <c r="E641" s="8" t="s">
        <v>487</v>
      </c>
      <c r="F641" s="8" t="s">
        <v>492</v>
      </c>
      <c r="G641" s="8" t="s">
        <v>500</v>
      </c>
      <c r="H641" s="8" t="s">
        <v>500</v>
      </c>
      <c r="I641" s="45">
        <f>I642+I645+I647+I649+I661+I663+I667+I669+I651+I665</f>
        <v>244649.02590000001</v>
      </c>
      <c r="J641" s="45">
        <f>J642+J647+J667+J669+J645+J649</f>
        <v>37388.760999999999</v>
      </c>
      <c r="K641" s="45">
        <f>K642+K647+K667+K669+K645</f>
        <v>32945.905999999995</v>
      </c>
      <c r="L641" s="1"/>
    </row>
    <row r="642" spans="1:12" ht="47.25" outlineLevel="5" x14ac:dyDescent="0.25">
      <c r="A642" s="18" t="s">
        <v>26</v>
      </c>
      <c r="B642" s="8"/>
      <c r="C642" s="8"/>
      <c r="D642" s="8"/>
      <c r="E642" s="19" t="s">
        <v>488</v>
      </c>
      <c r="F642" s="19" t="s">
        <v>492</v>
      </c>
      <c r="G642" s="19" t="s">
        <v>500</v>
      </c>
      <c r="H642" s="19" t="s">
        <v>500</v>
      </c>
      <c r="I642" s="46">
        <f>I643+I644</f>
        <v>3590.5277000000001</v>
      </c>
      <c r="J642" s="46">
        <f t="shared" ref="J642:K642" si="286">J643+J644</f>
        <v>3083</v>
      </c>
      <c r="K642" s="46">
        <f t="shared" si="286"/>
        <v>3083</v>
      </c>
      <c r="L642" s="1"/>
    </row>
    <row r="643" spans="1:12" ht="110.25" customHeight="1" outlineLevel="6" x14ac:dyDescent="0.25">
      <c r="A643" s="18" t="s">
        <v>27</v>
      </c>
      <c r="B643" s="8"/>
      <c r="C643" s="8"/>
      <c r="D643" s="8"/>
      <c r="E643" s="19" t="s">
        <v>488</v>
      </c>
      <c r="F643" s="19" t="s">
        <v>494</v>
      </c>
      <c r="G643" s="19" t="s">
        <v>503</v>
      </c>
      <c r="H643" s="19" t="s">
        <v>505</v>
      </c>
      <c r="I643" s="46">
        <f>2902.8+172.1084+288.0193+47.4</f>
        <v>3410.3277000000003</v>
      </c>
      <c r="J643" s="46">
        <v>2902.8</v>
      </c>
      <c r="K643" s="46">
        <v>2902.8</v>
      </c>
      <c r="L643" s="1"/>
    </row>
    <row r="644" spans="1:12" ht="47.25" outlineLevel="6" x14ac:dyDescent="0.25">
      <c r="A644" s="18" t="s">
        <v>30</v>
      </c>
      <c r="B644" s="8"/>
      <c r="C644" s="8"/>
      <c r="D644" s="8"/>
      <c r="E644" s="19" t="s">
        <v>488</v>
      </c>
      <c r="F644" s="19" t="s">
        <v>495</v>
      </c>
      <c r="G644" s="19" t="s">
        <v>503</v>
      </c>
      <c r="H644" s="19" t="s">
        <v>505</v>
      </c>
      <c r="I644" s="46">
        <v>180.2</v>
      </c>
      <c r="J644" s="46">
        <v>180.2</v>
      </c>
      <c r="K644" s="46">
        <v>180.2</v>
      </c>
      <c r="L644" s="1"/>
    </row>
    <row r="645" spans="1:12" ht="173.25" outlineLevel="6" x14ac:dyDescent="0.25">
      <c r="A645" s="40" t="s">
        <v>522</v>
      </c>
      <c r="B645" s="34"/>
      <c r="C645" s="8"/>
      <c r="D645" s="8"/>
      <c r="E645" s="19">
        <v>9990009501</v>
      </c>
      <c r="F645" s="19" t="s">
        <v>492</v>
      </c>
      <c r="G645" s="19" t="s">
        <v>500</v>
      </c>
      <c r="H645" s="19" t="s">
        <v>500</v>
      </c>
      <c r="I645" s="46">
        <f>I646</f>
        <v>1260.1125</v>
      </c>
      <c r="J645" s="46">
        <f t="shared" ref="J645:K645" si="287">J646</f>
        <v>0</v>
      </c>
      <c r="K645" s="46">
        <f t="shared" si="287"/>
        <v>0</v>
      </c>
      <c r="L645" s="1"/>
    </row>
    <row r="646" spans="1:12" ht="15.75" outlineLevel="6" x14ac:dyDescent="0.25">
      <c r="A646" s="18" t="s">
        <v>33</v>
      </c>
      <c r="B646" s="8"/>
      <c r="C646" s="8"/>
      <c r="D646" s="8"/>
      <c r="E646" s="19">
        <v>9990009501</v>
      </c>
      <c r="F646" s="19">
        <v>800</v>
      </c>
      <c r="G646" s="33" t="s">
        <v>501</v>
      </c>
      <c r="H646" s="33" t="s">
        <v>503</v>
      </c>
      <c r="I646" s="46">
        <v>1260.1125</v>
      </c>
      <c r="J646" s="46">
        <v>0</v>
      </c>
      <c r="K646" s="46">
        <v>0</v>
      </c>
      <c r="L646" s="1"/>
    </row>
    <row r="647" spans="1:12" ht="126" outlineLevel="5" x14ac:dyDescent="0.25">
      <c r="A647" s="18" t="s">
        <v>228</v>
      </c>
      <c r="B647" s="8"/>
      <c r="C647" s="8"/>
      <c r="D647" s="8"/>
      <c r="E647" s="19" t="s">
        <v>489</v>
      </c>
      <c r="F647" s="19" t="s">
        <v>492</v>
      </c>
      <c r="G647" s="19" t="s">
        <v>500</v>
      </c>
      <c r="H647" s="19" t="s">
        <v>500</v>
      </c>
      <c r="I647" s="46">
        <f>I648</f>
        <v>-6.8212102632969618E-12</v>
      </c>
      <c r="J647" s="46">
        <f t="shared" ref="J647:K647" si="288">J648</f>
        <v>28216.731</v>
      </c>
      <c r="K647" s="46">
        <f t="shared" si="288"/>
        <v>23773.905999999995</v>
      </c>
      <c r="L647" s="1"/>
    </row>
    <row r="648" spans="1:12" ht="15.75" outlineLevel="6" x14ac:dyDescent="0.25">
      <c r="A648" s="18" t="s">
        <v>33</v>
      </c>
      <c r="B648" s="8"/>
      <c r="C648" s="8"/>
      <c r="D648" s="8"/>
      <c r="E648" s="19" t="s">
        <v>489</v>
      </c>
      <c r="F648" s="19" t="s">
        <v>496</v>
      </c>
      <c r="G648" s="19" t="s">
        <v>503</v>
      </c>
      <c r="H648" s="19" t="s">
        <v>504</v>
      </c>
      <c r="I648" s="46">
        <f>35928.922-1277.44-1274.4-1014.5-4814.4-100-22600-2770.3+841.1-2918.982</f>
        <v>-6.8212102632969618E-12</v>
      </c>
      <c r="J648" s="46">
        <f>43389.596+4646.2-407.715-3689.5-2995.2-10000-2726.65</f>
        <v>28216.731</v>
      </c>
      <c r="K648" s="46">
        <f>36256.325+3961-1051.351-1893.368-3498.7-10000</f>
        <v>23773.905999999995</v>
      </c>
      <c r="L648" s="1"/>
    </row>
    <row r="649" spans="1:12" ht="78.75" outlineLevel="6" x14ac:dyDescent="0.25">
      <c r="A649" s="42" t="s">
        <v>563</v>
      </c>
      <c r="B649" s="34"/>
      <c r="C649" s="8"/>
      <c r="D649" s="8"/>
      <c r="E649" s="33" t="s">
        <v>562</v>
      </c>
      <c r="F649" s="33" t="s">
        <v>492</v>
      </c>
      <c r="G649" s="33" t="s">
        <v>500</v>
      </c>
      <c r="H649" s="33" t="s">
        <v>500</v>
      </c>
      <c r="I649" s="46">
        <f>I650</f>
        <v>0.05</v>
      </c>
      <c r="J649" s="46">
        <f t="shared" ref="J649:K649" si="289">J650</f>
        <v>0.03</v>
      </c>
      <c r="K649" s="46">
        <f t="shared" si="289"/>
        <v>0</v>
      </c>
      <c r="L649" s="1"/>
    </row>
    <row r="650" spans="1:12" ht="47.25" outlineLevel="6" x14ac:dyDescent="0.25">
      <c r="A650" s="18" t="s">
        <v>30</v>
      </c>
      <c r="B650" s="8"/>
      <c r="C650" s="8"/>
      <c r="D650" s="8"/>
      <c r="E650" s="33" t="s">
        <v>562</v>
      </c>
      <c r="F650" s="33" t="s">
        <v>495</v>
      </c>
      <c r="G650" s="33" t="s">
        <v>506</v>
      </c>
      <c r="H650" s="33" t="s">
        <v>511</v>
      </c>
      <c r="I650" s="46">
        <v>0.05</v>
      </c>
      <c r="J650" s="46">
        <v>0.03</v>
      </c>
      <c r="K650" s="46">
        <v>0</v>
      </c>
      <c r="L650" s="1"/>
    </row>
    <row r="651" spans="1:12" ht="94.5" outlineLevel="6" x14ac:dyDescent="0.25">
      <c r="A651" s="40" t="s">
        <v>644</v>
      </c>
      <c r="B651" s="34"/>
      <c r="C651" s="8"/>
      <c r="D651" s="8"/>
      <c r="E651" s="33" t="s">
        <v>643</v>
      </c>
      <c r="F651" s="33" t="s">
        <v>492</v>
      </c>
      <c r="G651" s="33" t="s">
        <v>500</v>
      </c>
      <c r="H651" s="33" t="s">
        <v>500</v>
      </c>
      <c r="I651" s="46">
        <f>I652+I653+I654+I655+I656+I657+I658+I659+I660</f>
        <v>3701.61</v>
      </c>
      <c r="J651" s="46">
        <f t="shared" ref="J651:K651" si="290">J652+J653+J654+J655+J656+J657+J658+J659+J660</f>
        <v>0</v>
      </c>
      <c r="K651" s="46">
        <f t="shared" si="290"/>
        <v>0</v>
      </c>
      <c r="L651" s="1"/>
    </row>
    <row r="652" spans="1:12" ht="113.25" customHeight="1" outlineLevel="6" x14ac:dyDescent="0.25">
      <c r="A652" s="18" t="s">
        <v>27</v>
      </c>
      <c r="B652" s="8"/>
      <c r="C652" s="8"/>
      <c r="D652" s="8"/>
      <c r="E652" s="33" t="s">
        <v>643</v>
      </c>
      <c r="F652" s="33" t="s">
        <v>494</v>
      </c>
      <c r="G652" s="33" t="s">
        <v>503</v>
      </c>
      <c r="H652" s="33" t="s">
        <v>506</v>
      </c>
      <c r="I652" s="46">
        <v>1298.4000000000001</v>
      </c>
      <c r="J652" s="46">
        <v>0</v>
      </c>
      <c r="K652" s="46">
        <v>0</v>
      </c>
      <c r="L652" s="1"/>
    </row>
    <row r="653" spans="1:12" ht="113.25" customHeight="1" outlineLevel="6" x14ac:dyDescent="0.25">
      <c r="A653" s="18" t="s">
        <v>27</v>
      </c>
      <c r="B653" s="8"/>
      <c r="C653" s="8"/>
      <c r="D653" s="8"/>
      <c r="E653" s="33" t="s">
        <v>643</v>
      </c>
      <c r="F653" s="33" t="s">
        <v>494</v>
      </c>
      <c r="G653" s="33" t="s">
        <v>503</v>
      </c>
      <c r="H653" s="33" t="s">
        <v>513</v>
      </c>
      <c r="I653" s="46">
        <v>422.8</v>
      </c>
      <c r="J653" s="46">
        <v>0</v>
      </c>
      <c r="K653" s="46">
        <v>0</v>
      </c>
      <c r="L653" s="1"/>
    </row>
    <row r="654" spans="1:12" ht="113.25" customHeight="1" outlineLevel="6" x14ac:dyDescent="0.25">
      <c r="A654" s="18" t="s">
        <v>27</v>
      </c>
      <c r="B654" s="8"/>
      <c r="C654" s="8"/>
      <c r="D654" s="8"/>
      <c r="E654" s="33" t="s">
        <v>643</v>
      </c>
      <c r="F654" s="33" t="s">
        <v>494</v>
      </c>
      <c r="G654" s="33" t="s">
        <v>503</v>
      </c>
      <c r="H654" s="33" t="s">
        <v>504</v>
      </c>
      <c r="I654" s="46">
        <f>78.4+473.2</f>
        <v>551.6</v>
      </c>
      <c r="J654" s="46">
        <v>0</v>
      </c>
      <c r="K654" s="46">
        <v>0</v>
      </c>
      <c r="L654" s="1"/>
    </row>
    <row r="655" spans="1:12" ht="113.25" customHeight="1" outlineLevel="6" x14ac:dyDescent="0.25">
      <c r="A655" s="18" t="s">
        <v>27</v>
      </c>
      <c r="B655" s="8"/>
      <c r="C655" s="8"/>
      <c r="D655" s="8"/>
      <c r="E655" s="33" t="s">
        <v>643</v>
      </c>
      <c r="F655" s="33" t="s">
        <v>494</v>
      </c>
      <c r="G655" s="33" t="s">
        <v>505</v>
      </c>
      <c r="H655" s="33" t="s">
        <v>506</v>
      </c>
      <c r="I655" s="46">
        <v>124.9</v>
      </c>
      <c r="J655" s="46">
        <v>0</v>
      </c>
      <c r="K655" s="46">
        <v>0</v>
      </c>
      <c r="L655" s="1"/>
    </row>
    <row r="656" spans="1:12" ht="113.25" customHeight="1" outlineLevel="6" x14ac:dyDescent="0.25">
      <c r="A656" s="18" t="s">
        <v>27</v>
      </c>
      <c r="B656" s="8"/>
      <c r="C656" s="8"/>
      <c r="D656" s="8"/>
      <c r="E656" s="33" t="s">
        <v>643</v>
      </c>
      <c r="F656" s="33" t="s">
        <v>494</v>
      </c>
      <c r="G656" s="33" t="s">
        <v>501</v>
      </c>
      <c r="H656" s="33" t="s">
        <v>501</v>
      </c>
      <c r="I656" s="46">
        <f>210.2+235</f>
        <v>445.2</v>
      </c>
      <c r="J656" s="46">
        <v>0</v>
      </c>
      <c r="K656" s="46">
        <v>0</v>
      </c>
      <c r="L656" s="1"/>
    </row>
    <row r="657" spans="1:12" ht="113.25" customHeight="1" outlineLevel="6" x14ac:dyDescent="0.25">
      <c r="A657" s="18" t="s">
        <v>27</v>
      </c>
      <c r="B657" s="8"/>
      <c r="C657" s="8"/>
      <c r="D657" s="8"/>
      <c r="E657" s="33" t="s">
        <v>643</v>
      </c>
      <c r="F657" s="33" t="s">
        <v>494</v>
      </c>
      <c r="G657" s="33" t="s">
        <v>510</v>
      </c>
      <c r="H657" s="33" t="s">
        <v>509</v>
      </c>
      <c r="I657" s="46">
        <f>334+103.9</f>
        <v>437.9</v>
      </c>
      <c r="J657" s="46">
        <v>0</v>
      </c>
      <c r="K657" s="46">
        <v>0</v>
      </c>
      <c r="L657" s="1"/>
    </row>
    <row r="658" spans="1:12" ht="113.25" customHeight="1" outlineLevel="6" x14ac:dyDescent="0.25">
      <c r="A658" s="18" t="s">
        <v>27</v>
      </c>
      <c r="B658" s="8"/>
      <c r="C658" s="8"/>
      <c r="D658" s="8"/>
      <c r="E658" s="33" t="s">
        <v>643</v>
      </c>
      <c r="F658" s="33" t="s">
        <v>494</v>
      </c>
      <c r="G658" s="33" t="s">
        <v>511</v>
      </c>
      <c r="H658" s="33" t="s">
        <v>506</v>
      </c>
      <c r="I658" s="46">
        <v>193</v>
      </c>
      <c r="J658" s="46">
        <v>0</v>
      </c>
      <c r="K658" s="46">
        <v>0</v>
      </c>
      <c r="L658" s="1"/>
    </row>
    <row r="659" spans="1:12" ht="113.25" customHeight="1" outlineLevel="6" x14ac:dyDescent="0.25">
      <c r="A659" s="18" t="s">
        <v>27</v>
      </c>
      <c r="B659" s="8"/>
      <c r="C659" s="8"/>
      <c r="D659" s="8"/>
      <c r="E659" s="33" t="s">
        <v>643</v>
      </c>
      <c r="F659" s="33" t="s">
        <v>494</v>
      </c>
      <c r="G659" s="33" t="s">
        <v>508</v>
      </c>
      <c r="H659" s="33" t="s">
        <v>513</v>
      </c>
      <c r="I659" s="46">
        <v>112.9</v>
      </c>
      <c r="J659" s="46">
        <v>0</v>
      </c>
      <c r="K659" s="46">
        <v>0</v>
      </c>
      <c r="L659" s="1"/>
    </row>
    <row r="660" spans="1:12" ht="113.25" customHeight="1" outlineLevel="6" x14ac:dyDescent="0.25">
      <c r="A660" s="18" t="s">
        <v>27</v>
      </c>
      <c r="B660" s="8"/>
      <c r="C660" s="8"/>
      <c r="D660" s="8"/>
      <c r="E660" s="33" t="s">
        <v>643</v>
      </c>
      <c r="F660" s="33" t="s">
        <v>494</v>
      </c>
      <c r="G660" s="33" t="s">
        <v>512</v>
      </c>
      <c r="H660" s="33" t="s">
        <v>501</v>
      </c>
      <c r="I660" s="46">
        <v>114.91</v>
      </c>
      <c r="J660" s="46">
        <v>0</v>
      </c>
      <c r="K660" s="46">
        <v>0</v>
      </c>
      <c r="L660" s="1"/>
    </row>
    <row r="661" spans="1:12" ht="267.75" outlineLevel="6" x14ac:dyDescent="0.25">
      <c r="A661" s="40" t="s">
        <v>662</v>
      </c>
      <c r="B661" s="34"/>
      <c r="C661" s="8"/>
      <c r="D661" s="8"/>
      <c r="E661" s="33" t="s">
        <v>620</v>
      </c>
      <c r="F661" s="33" t="s">
        <v>492</v>
      </c>
      <c r="G661" s="33" t="s">
        <v>500</v>
      </c>
      <c r="H661" s="33" t="s">
        <v>500</v>
      </c>
      <c r="I661" s="46">
        <f>I662</f>
        <v>14376.928000000002</v>
      </c>
      <c r="J661" s="46">
        <f t="shared" ref="J661:K661" si="291">J662</f>
        <v>0</v>
      </c>
      <c r="K661" s="46">
        <f t="shared" si="291"/>
        <v>0</v>
      </c>
      <c r="L661" s="1"/>
    </row>
    <row r="662" spans="1:12" ht="47.25" outlineLevel="6" x14ac:dyDescent="0.25">
      <c r="A662" s="18" t="s">
        <v>30</v>
      </c>
      <c r="B662" s="8"/>
      <c r="C662" s="8"/>
      <c r="D662" s="8"/>
      <c r="E662" s="33" t="s">
        <v>620</v>
      </c>
      <c r="F662" s="33" t="s">
        <v>495</v>
      </c>
      <c r="G662" s="33" t="s">
        <v>503</v>
      </c>
      <c r="H662" s="33" t="s">
        <v>504</v>
      </c>
      <c r="I662" s="46">
        <f>390.432+2322.672+2320.016+302.784+2322.672+2468.752+4249.6</f>
        <v>14376.928000000002</v>
      </c>
      <c r="J662" s="46">
        <v>0</v>
      </c>
      <c r="K662" s="46">
        <v>0</v>
      </c>
      <c r="L662" s="1"/>
    </row>
    <row r="663" spans="1:12" ht="224.25" customHeight="1" outlineLevel="6" x14ac:dyDescent="0.25">
      <c r="A663" s="40" t="s">
        <v>521</v>
      </c>
      <c r="B663" s="34"/>
      <c r="C663" s="8"/>
      <c r="D663" s="8"/>
      <c r="E663" s="19">
        <v>9990072200</v>
      </c>
      <c r="F663" s="19" t="s">
        <v>492</v>
      </c>
      <c r="G663" s="19" t="s">
        <v>500</v>
      </c>
      <c r="H663" s="19" t="s">
        <v>500</v>
      </c>
      <c r="I663" s="46">
        <f>I664</f>
        <v>15442.7</v>
      </c>
      <c r="J663" s="46">
        <f t="shared" ref="J663:K663" si="292">J664</f>
        <v>0</v>
      </c>
      <c r="K663" s="46">
        <f t="shared" si="292"/>
        <v>0</v>
      </c>
      <c r="L663" s="1"/>
    </row>
    <row r="664" spans="1:12" ht="47.25" outlineLevel="6" x14ac:dyDescent="0.25">
      <c r="A664" s="18" t="s">
        <v>30</v>
      </c>
      <c r="B664" s="8"/>
      <c r="C664" s="8"/>
      <c r="D664" s="8"/>
      <c r="E664" s="19">
        <v>9990072200</v>
      </c>
      <c r="F664" s="19">
        <v>200</v>
      </c>
      <c r="G664" s="19" t="s">
        <v>503</v>
      </c>
      <c r="H664" s="19" t="s">
        <v>504</v>
      </c>
      <c r="I664" s="46">
        <f>9800.6-357.9+6000</f>
        <v>15442.7</v>
      </c>
      <c r="J664" s="46">
        <v>0</v>
      </c>
      <c r="K664" s="46">
        <v>0</v>
      </c>
      <c r="L664" s="1"/>
    </row>
    <row r="665" spans="1:12" ht="114.75" customHeight="1" outlineLevel="6" x14ac:dyDescent="0.25">
      <c r="A665" s="40" t="s">
        <v>667</v>
      </c>
      <c r="B665" s="34"/>
      <c r="C665" s="8"/>
      <c r="D665" s="8"/>
      <c r="E665" s="33" t="s">
        <v>666</v>
      </c>
      <c r="F665" s="33" t="s">
        <v>492</v>
      </c>
      <c r="G665" s="33" t="s">
        <v>500</v>
      </c>
      <c r="H665" s="33" t="s">
        <v>500</v>
      </c>
      <c r="I665" s="46">
        <f>I666</f>
        <v>199724</v>
      </c>
      <c r="J665" s="46">
        <f t="shared" ref="J665:K665" si="293">J666</f>
        <v>0</v>
      </c>
      <c r="K665" s="46">
        <f t="shared" si="293"/>
        <v>0</v>
      </c>
      <c r="L665" s="1"/>
    </row>
    <row r="666" spans="1:12" ht="47.25" outlineLevel="6" x14ac:dyDescent="0.25">
      <c r="A666" s="18" t="s">
        <v>30</v>
      </c>
      <c r="B666" s="8"/>
      <c r="C666" s="8"/>
      <c r="D666" s="8"/>
      <c r="E666" s="33" t="s">
        <v>666</v>
      </c>
      <c r="F666" s="33" t="s">
        <v>495</v>
      </c>
      <c r="G666" s="33" t="s">
        <v>506</v>
      </c>
      <c r="H666" s="33" t="s">
        <v>511</v>
      </c>
      <c r="I666" s="46">
        <f>99724+100000</f>
        <v>199724</v>
      </c>
      <c r="J666" s="46">
        <v>0</v>
      </c>
      <c r="K666" s="46">
        <v>0</v>
      </c>
      <c r="L666" s="1"/>
    </row>
    <row r="667" spans="1:12" ht="47.25" outlineLevel="6" x14ac:dyDescent="0.25">
      <c r="A667" s="18" t="s">
        <v>229</v>
      </c>
      <c r="B667" s="8"/>
      <c r="C667" s="8"/>
      <c r="D667" s="8"/>
      <c r="E667" s="19" t="s">
        <v>490</v>
      </c>
      <c r="F667" s="19" t="s">
        <v>492</v>
      </c>
      <c r="G667" s="19" t="s">
        <v>500</v>
      </c>
      <c r="H667" s="19" t="s">
        <v>500</v>
      </c>
      <c r="I667" s="46">
        <f>I668</f>
        <v>2914.5048500000003</v>
      </c>
      <c r="J667" s="46">
        <f t="shared" ref="J667:K667" si="294">J668</f>
        <v>2660.9</v>
      </c>
      <c r="K667" s="46">
        <f t="shared" si="294"/>
        <v>2660.9</v>
      </c>
      <c r="L667" s="1"/>
    </row>
    <row r="668" spans="1:12" ht="116.25" customHeight="1" outlineLevel="2" x14ac:dyDescent="0.25">
      <c r="A668" s="18" t="s">
        <v>27</v>
      </c>
      <c r="B668" s="8"/>
      <c r="C668" s="8"/>
      <c r="D668" s="8"/>
      <c r="E668" s="19" t="s">
        <v>490</v>
      </c>
      <c r="F668" s="19" t="s">
        <v>494</v>
      </c>
      <c r="G668" s="19" t="s">
        <v>503</v>
      </c>
      <c r="H668" s="19" t="s">
        <v>505</v>
      </c>
      <c r="I668" s="46">
        <f>2660.9+66.4848+187.12005</f>
        <v>2914.5048500000003</v>
      </c>
      <c r="J668" s="46">
        <v>2660.9</v>
      </c>
      <c r="K668" s="46">
        <v>2660.9</v>
      </c>
      <c r="L668" s="1"/>
    </row>
    <row r="669" spans="1:12" ht="47.25" outlineLevel="5" x14ac:dyDescent="0.25">
      <c r="A669" s="18" t="s">
        <v>230</v>
      </c>
      <c r="B669" s="8"/>
      <c r="C669" s="8"/>
      <c r="D669" s="8"/>
      <c r="E669" s="19" t="s">
        <v>491</v>
      </c>
      <c r="F669" s="19" t="s">
        <v>492</v>
      </c>
      <c r="G669" s="19" t="s">
        <v>500</v>
      </c>
      <c r="H669" s="19" t="s">
        <v>500</v>
      </c>
      <c r="I669" s="46">
        <f>I670</f>
        <v>3638.59285</v>
      </c>
      <c r="J669" s="46">
        <f t="shared" ref="J669:K669" si="295">J670</f>
        <v>3428.1</v>
      </c>
      <c r="K669" s="46">
        <f t="shared" si="295"/>
        <v>3428.1</v>
      </c>
      <c r="L669" s="1"/>
    </row>
    <row r="670" spans="1:12" ht="112.5" customHeight="1" outlineLevel="6" x14ac:dyDescent="0.25">
      <c r="A670" s="18" t="s">
        <v>27</v>
      </c>
      <c r="B670" s="8"/>
      <c r="C670" s="8"/>
      <c r="D670" s="8"/>
      <c r="E670" s="19" t="s">
        <v>491</v>
      </c>
      <c r="F670" s="19" t="s">
        <v>494</v>
      </c>
      <c r="G670" s="19" t="s">
        <v>503</v>
      </c>
      <c r="H670" s="19" t="s">
        <v>505</v>
      </c>
      <c r="I670" s="46">
        <f>3428.1+85.6875+124.80535</f>
        <v>3638.59285</v>
      </c>
      <c r="J670" s="46">
        <v>3428.1</v>
      </c>
      <c r="K670" s="46">
        <v>3428.1</v>
      </c>
      <c r="L670" s="1"/>
    </row>
    <row r="671" spans="1:12" ht="15.75" outlineLevel="6" x14ac:dyDescent="0.25">
      <c r="A671" s="65" t="s">
        <v>515</v>
      </c>
      <c r="B671" s="66"/>
      <c r="C671" s="66"/>
      <c r="D671" s="66"/>
      <c r="E671" s="66"/>
      <c r="F671" s="66"/>
      <c r="G671" s="66"/>
      <c r="H671" s="66"/>
      <c r="I671" s="49">
        <f>I10+I107+I117+I169+I186+I204+I355+I422+I453+I504+I563+I568+I588+I598+I614+I626+I640+I635</f>
        <v>3726033.3299400005</v>
      </c>
      <c r="J671" s="49">
        <f>J10+J107+J117+J169+J186+J204+J355+J422+J453+J504+J563+J568+J588+J598+J614+J626+J640+J635</f>
        <v>2635237.7800000003</v>
      </c>
      <c r="K671" s="49">
        <f>K10+K107+K117+K169+K186+K204+K355+K422+K453+K504+K563+K568+K588+K598+K614+K626+K640+K635</f>
        <v>2625689.4480000008</v>
      </c>
      <c r="L671" s="1"/>
    </row>
    <row r="672" spans="1:12" ht="17.25" hidden="1" customHeight="1" x14ac:dyDescent="0.25">
      <c r="A672" s="55"/>
      <c r="B672" s="56"/>
      <c r="C672" s="56"/>
      <c r="D672" s="56"/>
      <c r="E672" s="56"/>
      <c r="F672" s="56"/>
      <c r="G672" s="56"/>
      <c r="H672" s="57"/>
      <c r="I672" s="11">
        <f>2587372.945-3.4+50679+1031.8+510.3+86613.712+13918.62126+1311.1+9608.3+24407.7+70+2161.3+54337.6+1827+31.5+121.9+14.8-550.2+7363.4+179.6+48128.2+41210.279+900</f>
        <v>2931245.4572599991</v>
      </c>
      <c r="J672" s="11">
        <f>2456879.879-3.4+1438.3-23792-30916.5</f>
        <v>2403606.2790000001</v>
      </c>
      <c r="K672" s="11">
        <f>2448508.979-4+439.2-109.2+621.7</f>
        <v>2449456.679</v>
      </c>
      <c r="L672" s="1"/>
    </row>
    <row r="673" spans="1:12" ht="17.25" hidden="1" customHeight="1" x14ac:dyDescent="0.25">
      <c r="A673" s="9"/>
      <c r="B673" s="10"/>
      <c r="C673" s="10"/>
      <c r="D673" s="10"/>
      <c r="E673" s="10"/>
      <c r="F673" s="10"/>
      <c r="G673" s="10"/>
      <c r="H673" s="10"/>
      <c r="I673" s="12" t="e">
        <f>I672-#REF!</f>
        <v>#REF!</v>
      </c>
      <c r="J673" s="12" t="e">
        <f>J672-#REF!</f>
        <v>#REF!</v>
      </c>
      <c r="K673" s="12" t="e">
        <f>K672-#REF!</f>
        <v>#REF!</v>
      </c>
      <c r="L673" s="1"/>
    </row>
    <row r="674" spans="1:12" ht="36.75" hidden="1" customHeight="1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2" ht="15.75" hidden="1" x14ac:dyDescent="0.25">
      <c r="A675" s="15" t="s">
        <v>12</v>
      </c>
      <c r="B675" s="14"/>
      <c r="C675" s="14"/>
      <c r="D675" s="14"/>
      <c r="E675" s="14"/>
      <c r="F675" s="14"/>
      <c r="G675" s="14"/>
      <c r="H675" s="14"/>
      <c r="I675" s="17" t="e">
        <f>I10+I159+I174+I243+I260+I275+I449+#REF!+I559+#REF!+#REF!+#REF!+#REF!+#REF!+#REF!+#REF!</f>
        <v>#REF!</v>
      </c>
      <c r="J675" s="17" t="e">
        <f>J10+J159+J174+J243+J260+J275+J449+#REF!+J559+#REF!+#REF!+#REF!+#REF!+#REF!+#REF!+#REF!</f>
        <v>#REF!</v>
      </c>
      <c r="K675" s="17" t="e">
        <f>K10+K159+K174+K243+K260+K275+K449+#REF!+K559+#REF!+#REF!+#REF!+#REF!+#REF!+#REF!+#REF!</f>
        <v>#REF!</v>
      </c>
    </row>
    <row r="676" spans="1:12" ht="15.75" hidden="1" x14ac:dyDescent="0.25">
      <c r="A676" s="15" t="s">
        <v>13</v>
      </c>
      <c r="B676" s="14"/>
      <c r="C676" s="14"/>
      <c r="D676" s="14"/>
      <c r="E676" s="14"/>
      <c r="F676" s="14"/>
      <c r="G676" s="14"/>
      <c r="H676" s="14"/>
      <c r="I676" s="16" t="e">
        <f>I675/#REF!*100</f>
        <v>#REF!</v>
      </c>
      <c r="J676" s="16" t="e">
        <f>J675/#REF!*100</f>
        <v>#REF!</v>
      </c>
      <c r="K676" s="16" t="e">
        <f>K675/#REF!*100</f>
        <v>#REF!</v>
      </c>
    </row>
    <row r="677" spans="1:12" ht="15.75" hidden="1" x14ac:dyDescent="0.25">
      <c r="A677" s="52"/>
      <c r="B677" s="53"/>
      <c r="C677" s="53"/>
      <c r="D677" s="53"/>
      <c r="E677" s="53"/>
      <c r="F677" s="53"/>
      <c r="G677" s="53"/>
      <c r="H677" s="54"/>
      <c r="I677" s="26">
        <f>2697439.2+1905.8+9800.6+1260.1125-19.5+15068.29861+752.1+784.1+0.006+7705.264+5143.2+8528.2+20892.1+28134+3985.2+1947.8+100+6195.3+106000-357.9+10000+544.9+180+15366+3174.3+247818.46939+390.432-1394.6+6000+36000+2322.672+1843.7-4996.32653-12669.00111+2320.016-5424.8+13+139.3+53999.856+5855.2+20000+3701.61+94453.9876-509.2+175+487.6+377.6+7379.1+2468.752+99724+1182+10800+121096.7+4599.612+24861.05148-2918.982+61407.5</f>
        <v>3726033.3299400005</v>
      </c>
      <c r="J677" s="26">
        <f>2564058.9+2100.1-20.3+942.1+3623.18+17410+24690.9+2134.8+4217.9+500+10000+18247.6-16875+4207.6</f>
        <v>2635237.7800000003</v>
      </c>
      <c r="K677" s="26">
        <f>2576748.7+982.4+8596.748+12671+23414+143+10000-11074+4207.6</f>
        <v>2625689.4480000003</v>
      </c>
    </row>
    <row r="678" spans="1:12" ht="15.75" hidden="1" x14ac:dyDescent="0.25">
      <c r="A678" s="52"/>
      <c r="B678" s="53"/>
      <c r="C678" s="53"/>
      <c r="D678" s="53"/>
      <c r="E678" s="53"/>
      <c r="F678" s="53"/>
      <c r="G678" s="53"/>
      <c r="H678" s="54"/>
      <c r="I678" s="41">
        <f>I677-I671</f>
        <v>0</v>
      </c>
      <c r="J678" s="26">
        <f t="shared" ref="J678:K678" si="296">J677-J671</f>
        <v>0</v>
      </c>
      <c r="K678" s="26">
        <f t="shared" si="296"/>
        <v>0</v>
      </c>
    </row>
    <row r="679" spans="1:12" hidden="1" x14ac:dyDescent="0.25"/>
    <row r="680" spans="1:12" hidden="1" x14ac:dyDescent="0.25"/>
    <row r="681" spans="1:12" ht="25.5" hidden="1" customHeight="1" x14ac:dyDescent="0.25">
      <c r="A681" s="27" t="s">
        <v>12</v>
      </c>
      <c r="B681" s="24"/>
      <c r="C681" s="24"/>
      <c r="D681" s="24"/>
      <c r="E681" s="24"/>
      <c r="F681" s="24"/>
      <c r="G681" s="24"/>
      <c r="H681" s="24"/>
      <c r="I681" s="26">
        <f>I10+I107+I117+I169+I186+I204+I355+I422+I453+I504+I563+I568+I588+I598+I614+I626</f>
        <v>3481384.3040400003</v>
      </c>
      <c r="J681" s="26">
        <f>J10+J107+J117+J169+J186+J204+J355+J422+J453+J504+J563+J568+J588+J598+J614+J626</f>
        <v>2596313.9190000002</v>
      </c>
      <c r="K681" s="26">
        <f>K10+K107+K117+K169+K186+K204+K355+K422+K453+K504+K563+K568+K588+K598+K614+K626</f>
        <v>2591249.9420000007</v>
      </c>
    </row>
    <row r="682" spans="1:12" ht="15.75" hidden="1" x14ac:dyDescent="0.25">
      <c r="A682" s="28" t="s">
        <v>13</v>
      </c>
      <c r="E682" s="24"/>
      <c r="F682" s="24"/>
      <c r="G682" s="24"/>
      <c r="H682" s="24"/>
      <c r="I682" s="25">
        <f>I681/I671*100</f>
        <v>93.43406233287935</v>
      </c>
      <c r="J682" s="25">
        <f t="shared" ref="J682:K682" si="297">J681/J671*100</f>
        <v>98.52294691221374</v>
      </c>
      <c r="K682" s="25">
        <f t="shared" si="297"/>
        <v>98.688363316300311</v>
      </c>
    </row>
  </sheetData>
  <mergeCells count="10">
    <mergeCell ref="A677:H677"/>
    <mergeCell ref="A678:H678"/>
    <mergeCell ref="A672:H672"/>
    <mergeCell ref="A8:K8"/>
    <mergeCell ref="J1:K1"/>
    <mergeCell ref="I2:K2"/>
    <mergeCell ref="J3:K3"/>
    <mergeCell ref="A6:K6"/>
    <mergeCell ref="A7:K7"/>
    <mergeCell ref="A671:H671"/>
  </mergeCells>
  <pageMargins left="0.69" right="0.23622047244094491" top="0.15748031496062992" bottom="0.19685039370078741" header="0.15748031496062992" footer="0.15748031496062992"/>
  <pageSetup paperSize="9" scale="75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2.01.2022&lt;/string&gt;&#10;  &lt;/DateInfo&gt;&#10;  &lt;Code&gt;SQUERY_SVOD_ROSP&lt;/Code&gt;&#10;  &lt;ObjectCode&gt;SQUERY_SVOD_ROSP&lt;/ObjectCode&gt;&#10;  &lt;DocName&gt;Сводная бюджетная роспись&lt;/DocName&gt;&#10;  &lt;VariantName&gt;Программное приложение к бюджету (по черновику)&lt;/VariantName&gt;&#10;  &lt;VariantLink&gt;22601036&lt;/VariantLink&gt;&#10;  &lt;SvodReportLink xsi:nil=&quot;true&quot; /&gt;&#10;  &lt;ReportLink&gt;126924&lt;/ReportLink&gt;&#10;  &lt;Note&gt;01.01.2022 - 02.01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D33F7C7-1271-4104-8C4B-5A48B43C4B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Шаронова Вера Владимировна</cp:lastModifiedBy>
  <cp:lastPrinted>2023-11-15T11:48:33Z</cp:lastPrinted>
  <dcterms:created xsi:type="dcterms:W3CDTF">2021-11-11T12:04:41Z</dcterms:created>
  <dcterms:modified xsi:type="dcterms:W3CDTF">2023-11-17T08:05:59Z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21.1.1.4230 (.NET 4.0)</vt:lpwstr>
  </property>
  <property fmtid="{D5CDD505-2E9C-101B-9397-08002B2CF9AE}" pid="4" name="Версия базы">
    <vt:lpwstr>21.1.1422.192701475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b_d_2022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Программное приложение к бюджету (по черновику)</vt:lpwstr>
  </property>
  <property fmtid="{D5CDD505-2E9C-101B-9397-08002B2CF9AE}" pid="11" name="Код отчета">
    <vt:lpwstr>FFA93705DC8F4A1A8186ED3D4A1D50</vt:lpwstr>
  </property>
  <property fmtid="{D5CDD505-2E9C-101B-9397-08002B2CF9AE}" pid="12" name="Локальная база">
    <vt:lpwstr>не используется</vt:lpwstr>
  </property>
</Properties>
</file>