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11535" windowHeight="9690"/>
  </bookViews>
  <sheets>
    <sheet name="Документ" sheetId="1" r:id="rId1"/>
  </sheets>
  <definedNames>
    <definedName name="_xlnm.Print_Titles" localSheetId="0">Документ!$8:$8</definedName>
  </definedNames>
  <calcPr calcId="125725"/>
</workbook>
</file>

<file path=xl/calcChain.xml><?xml version="1.0" encoding="utf-8"?>
<calcChain xmlns="http://schemas.openxmlformats.org/spreadsheetml/2006/main">
  <c r="F260" i="1"/>
  <c r="F654"/>
  <c r="F214"/>
  <c r="F216"/>
  <c r="F213"/>
  <c r="F209"/>
  <c r="F200"/>
  <c r="F471"/>
  <c r="F469"/>
  <c r="F466"/>
  <c r="F464"/>
  <c r="F582"/>
  <c r="F541"/>
  <c r="H338"/>
  <c r="G338"/>
  <c r="F338"/>
  <c r="H334"/>
  <c r="G334"/>
  <c r="F334"/>
  <c r="H326"/>
  <c r="G326"/>
  <c r="F326"/>
  <c r="F311"/>
  <c r="H303"/>
  <c r="G303"/>
  <c r="F303"/>
  <c r="F300"/>
  <c r="F290"/>
  <c r="F276"/>
  <c r="F553"/>
  <c r="H515"/>
  <c r="G515"/>
  <c r="F515"/>
  <c r="F526"/>
  <c r="F522"/>
  <c r="F498"/>
  <c r="H639"/>
  <c r="G639"/>
  <c r="F639"/>
  <c r="F63"/>
  <c r="F55"/>
  <c r="F642"/>
  <c r="H638"/>
  <c r="G638"/>
  <c r="F638"/>
  <c r="F634"/>
  <c r="H332"/>
  <c r="G332"/>
  <c r="F332"/>
  <c r="H295"/>
  <c r="G295"/>
  <c r="F295"/>
  <c r="F376"/>
  <c r="F379"/>
  <c r="F373"/>
  <c r="F492"/>
  <c r="F488"/>
  <c r="F487"/>
  <c r="F484"/>
  <c r="F350"/>
  <c r="F341"/>
  <c r="F658"/>
  <c r="F657"/>
  <c r="F426"/>
  <c r="F452"/>
  <c r="F113"/>
  <c r="F101"/>
  <c r="F76"/>
  <c r="H470"/>
  <c r="G470"/>
  <c r="F470"/>
  <c r="H465"/>
  <c r="G465"/>
  <c r="F465"/>
  <c r="F460" l="1"/>
  <c r="H457"/>
  <c r="G457"/>
  <c r="G456"/>
  <c r="G455"/>
  <c r="F457"/>
  <c r="H459"/>
  <c r="H456" s="1"/>
  <c r="H455" s="1"/>
  <c r="G459"/>
  <c r="F459"/>
  <c r="F456" s="1"/>
  <c r="F455" s="1"/>
  <c r="H463"/>
  <c r="G463"/>
  <c r="H462"/>
  <c r="G462"/>
  <c r="G461"/>
  <c r="F463"/>
  <c r="F462" s="1"/>
  <c r="H468"/>
  <c r="G468"/>
  <c r="H467"/>
  <c r="H461" s="1"/>
  <c r="G467"/>
  <c r="F468"/>
  <c r="F467" s="1"/>
  <c r="H243"/>
  <c r="G243"/>
  <c r="F243"/>
  <c r="H242"/>
  <c r="H241" s="1"/>
  <c r="H237" s="1"/>
  <c r="G242"/>
  <c r="F242"/>
  <c r="H541"/>
  <c r="G541"/>
  <c r="F388"/>
  <c r="F387"/>
  <c r="F412"/>
  <c r="F411"/>
  <c r="F410"/>
  <c r="F405"/>
  <c r="F20"/>
  <c r="F592"/>
  <c r="F591"/>
  <c r="F578"/>
  <c r="F351"/>
  <c r="F109"/>
  <c r="F241"/>
  <c r="F237" s="1"/>
  <c r="H238"/>
  <c r="G238"/>
  <c r="F238"/>
  <c r="H235"/>
  <c r="G235"/>
  <c r="F235"/>
  <c r="H233"/>
  <c r="G233"/>
  <c r="F233"/>
  <c r="H231"/>
  <c r="G231"/>
  <c r="F231"/>
  <c r="H214"/>
  <c r="G214"/>
  <c r="H490"/>
  <c r="G490"/>
  <c r="F490"/>
  <c r="H160"/>
  <c r="G160"/>
  <c r="F160"/>
  <c r="H158"/>
  <c r="G158"/>
  <c r="F158"/>
  <c r="H154"/>
  <c r="G154"/>
  <c r="F154"/>
  <c r="H152"/>
  <c r="G152"/>
  <c r="F152"/>
  <c r="H132"/>
  <c r="G132"/>
  <c r="F132"/>
  <c r="H128"/>
  <c r="G128"/>
  <c r="F128"/>
  <c r="H120"/>
  <c r="G120"/>
  <c r="F120"/>
  <c r="H116"/>
  <c r="G116"/>
  <c r="F116"/>
  <c r="H59"/>
  <c r="G59"/>
  <c r="F60"/>
  <c r="F59" s="1"/>
  <c r="F44"/>
  <c r="F149"/>
  <c r="H156"/>
  <c r="G156"/>
  <c r="G151" s="1"/>
  <c r="F156"/>
  <c r="H124"/>
  <c r="G124"/>
  <c r="F124"/>
  <c r="F614"/>
  <c r="F612"/>
  <c r="H653"/>
  <c r="H652" s="1"/>
  <c r="G653"/>
  <c r="G652" s="1"/>
  <c r="F653"/>
  <c r="F652" s="1"/>
  <c r="H656"/>
  <c r="H655" s="1"/>
  <c r="G656"/>
  <c r="G655" s="1"/>
  <c r="F656"/>
  <c r="F655" s="1"/>
  <c r="F210"/>
  <c r="F194"/>
  <c r="H212"/>
  <c r="G212"/>
  <c r="F212"/>
  <c r="F298"/>
  <c r="F536"/>
  <c r="H79"/>
  <c r="G79"/>
  <c r="F79"/>
  <c r="F440"/>
  <c r="H112"/>
  <c r="G112"/>
  <c r="F112"/>
  <c r="F97"/>
  <c r="H581"/>
  <c r="G581"/>
  <c r="F581"/>
  <c r="F552"/>
  <c r="F228"/>
  <c r="H197"/>
  <c r="G197"/>
  <c r="F197"/>
  <c r="H227"/>
  <c r="G227"/>
  <c r="H226"/>
  <c r="G226"/>
  <c r="F227"/>
  <c r="F226" s="1"/>
  <c r="G651" l="1"/>
  <c r="G650" s="1"/>
  <c r="F151"/>
  <c r="F150" s="1"/>
  <c r="G230"/>
  <c r="G229" s="1"/>
  <c r="F230"/>
  <c r="H230"/>
  <c r="H229" s="1"/>
  <c r="G241"/>
  <c r="G237" s="1"/>
  <c r="F651"/>
  <c r="F650" s="1"/>
  <c r="F461"/>
  <c r="H651"/>
  <c r="H650" s="1"/>
  <c r="F229"/>
  <c r="G150"/>
  <c r="H151"/>
  <c r="H150" s="1"/>
  <c r="H191"/>
  <c r="G191"/>
  <c r="F191"/>
  <c r="H250"/>
  <c r="G250"/>
  <c r="F250"/>
  <c r="H248"/>
  <c r="G248"/>
  <c r="F248"/>
  <c r="H351"/>
  <c r="G351"/>
  <c r="H347"/>
  <c r="G347"/>
  <c r="F347"/>
  <c r="H487"/>
  <c r="G487"/>
  <c r="F454"/>
  <c r="F422"/>
  <c r="F420"/>
  <c r="H148"/>
  <c r="G148"/>
  <c r="H147"/>
  <c r="G147"/>
  <c r="H146"/>
  <c r="G146"/>
  <c r="F148"/>
  <c r="F147" s="1"/>
  <c r="F146" s="1"/>
  <c r="F145" l="1"/>
  <c r="H81"/>
  <c r="G81"/>
  <c r="F81"/>
  <c r="H551"/>
  <c r="G551"/>
  <c r="F551"/>
  <c r="F434"/>
  <c r="F432"/>
  <c r="F430"/>
  <c r="H535"/>
  <c r="H534" s="1"/>
  <c r="G535"/>
  <c r="G534" s="1"/>
  <c r="F535"/>
  <c r="F534" s="1"/>
  <c r="H675" l="1"/>
  <c r="G675"/>
  <c r="F675"/>
  <c r="F365"/>
  <c r="H667"/>
  <c r="G667"/>
  <c r="F667"/>
  <c r="H364" l="1"/>
  <c r="G364"/>
  <c r="H363"/>
  <c r="G363"/>
  <c r="F364"/>
  <c r="F363" s="1"/>
  <c r="H19"/>
  <c r="G19"/>
  <c r="F19"/>
  <c r="H29"/>
  <c r="G29"/>
  <c r="F29"/>
  <c r="H37"/>
  <c r="G37"/>
  <c r="F37"/>
  <c r="H50"/>
  <c r="G50"/>
  <c r="F50"/>
  <c r="H54"/>
  <c r="G54"/>
  <c r="F54"/>
  <c r="H64"/>
  <c r="H58" s="1"/>
  <c r="G64"/>
  <c r="G58" s="1"/>
  <c r="F64"/>
  <c r="F58" s="1"/>
  <c r="H69"/>
  <c r="G69"/>
  <c r="H68"/>
  <c r="G68"/>
  <c r="F69"/>
  <c r="F68" s="1"/>
  <c r="H75"/>
  <c r="H74" s="1"/>
  <c r="G75"/>
  <c r="F75"/>
  <c r="F74" s="1"/>
  <c r="F73" s="1"/>
  <c r="H84"/>
  <c r="G84"/>
  <c r="H83"/>
  <c r="H73" s="1"/>
  <c r="G83"/>
  <c r="F84"/>
  <c r="F83" s="1"/>
  <c r="H90"/>
  <c r="G90"/>
  <c r="H89"/>
  <c r="G89"/>
  <c r="H88"/>
  <c r="G88"/>
  <c r="F90"/>
  <c r="F89" s="1"/>
  <c r="F88" s="1"/>
  <c r="H100"/>
  <c r="G100"/>
  <c r="F100"/>
  <c r="H104"/>
  <c r="G104"/>
  <c r="F104"/>
  <c r="H108"/>
  <c r="G108"/>
  <c r="F108"/>
  <c r="H115"/>
  <c r="G115"/>
  <c r="F115"/>
  <c r="H119"/>
  <c r="G119"/>
  <c r="F119"/>
  <c r="H123"/>
  <c r="G123"/>
  <c r="F123"/>
  <c r="H127"/>
  <c r="G127"/>
  <c r="F127"/>
  <c r="H131"/>
  <c r="G131"/>
  <c r="F131"/>
  <c r="H141"/>
  <c r="G141"/>
  <c r="H137"/>
  <c r="H136" s="1"/>
  <c r="H135" s="1"/>
  <c r="G137"/>
  <c r="F137"/>
  <c r="F141"/>
  <c r="H164"/>
  <c r="G164"/>
  <c r="F164"/>
  <c r="H167"/>
  <c r="G167"/>
  <c r="F167"/>
  <c r="H170"/>
  <c r="G170"/>
  <c r="H169"/>
  <c r="G169"/>
  <c r="F170"/>
  <c r="F169" s="1"/>
  <c r="H178"/>
  <c r="G178"/>
  <c r="F178"/>
  <c r="H181"/>
  <c r="G181"/>
  <c r="F181"/>
  <c r="H183"/>
  <c r="G183"/>
  <c r="F183"/>
  <c r="H189"/>
  <c r="G189"/>
  <c r="F189"/>
  <c r="H193"/>
  <c r="G193"/>
  <c r="F193"/>
  <c r="H199"/>
  <c r="G199"/>
  <c r="F199"/>
  <c r="H202"/>
  <c r="G202"/>
  <c r="F202"/>
  <c r="H206"/>
  <c r="G206"/>
  <c r="F206"/>
  <c r="H208"/>
  <c r="G208"/>
  <c r="F208"/>
  <c r="H217"/>
  <c r="G217"/>
  <c r="F217"/>
  <c r="H219"/>
  <c r="G219"/>
  <c r="F219"/>
  <c r="H224"/>
  <c r="H223" s="1"/>
  <c r="G224"/>
  <c r="G223" s="1"/>
  <c r="F224"/>
  <c r="F223" s="1"/>
  <c r="H247"/>
  <c r="G247"/>
  <c r="F247"/>
  <c r="H249"/>
  <c r="G249"/>
  <c r="F249"/>
  <c r="H254"/>
  <c r="G254"/>
  <c r="H253"/>
  <c r="G253"/>
  <c r="F254"/>
  <c r="F253" s="1"/>
  <c r="H259"/>
  <c r="G259"/>
  <c r="H258"/>
  <c r="G258"/>
  <c r="H263"/>
  <c r="G263"/>
  <c r="H262"/>
  <c r="G262"/>
  <c r="H261"/>
  <c r="G261"/>
  <c r="F263"/>
  <c r="F262" s="1"/>
  <c r="F261" s="1"/>
  <c r="H267"/>
  <c r="H266" s="1"/>
  <c r="H265" s="1"/>
  <c r="G267"/>
  <c r="G266" s="1"/>
  <c r="G265" s="1"/>
  <c r="F267"/>
  <c r="F266" s="1"/>
  <c r="F265" s="1"/>
  <c r="H275"/>
  <c r="G275"/>
  <c r="F275"/>
  <c r="H277"/>
  <c r="G277"/>
  <c r="F277"/>
  <c r="H279"/>
  <c r="G279"/>
  <c r="F279"/>
  <c r="H281"/>
  <c r="G281"/>
  <c r="F281"/>
  <c r="H284"/>
  <c r="G284"/>
  <c r="F284"/>
  <c r="H287"/>
  <c r="G287"/>
  <c r="F287"/>
  <c r="H289"/>
  <c r="G289"/>
  <c r="F289"/>
  <c r="H291"/>
  <c r="G291"/>
  <c r="F291"/>
  <c r="H293"/>
  <c r="G293"/>
  <c r="F293"/>
  <c r="H297"/>
  <c r="G297"/>
  <c r="F297"/>
  <c r="H299"/>
  <c r="G299"/>
  <c r="F299"/>
  <c r="H301"/>
  <c r="G301"/>
  <c r="F301"/>
  <c r="H305"/>
  <c r="G305"/>
  <c r="F305"/>
  <c r="H308"/>
  <c r="G308"/>
  <c r="F308"/>
  <c r="H310"/>
  <c r="G310"/>
  <c r="F310"/>
  <c r="H312"/>
  <c r="G312"/>
  <c r="F312"/>
  <c r="H314"/>
  <c r="G314"/>
  <c r="F314"/>
  <c r="H316"/>
  <c r="G316"/>
  <c r="F316"/>
  <c r="H318"/>
  <c r="G318"/>
  <c r="F318"/>
  <c r="H320"/>
  <c r="G320"/>
  <c r="F320"/>
  <c r="H322"/>
  <c r="G322"/>
  <c r="F322"/>
  <c r="H324"/>
  <c r="G324"/>
  <c r="F324"/>
  <c r="H328"/>
  <c r="G328"/>
  <c r="F328"/>
  <c r="H330"/>
  <c r="G330"/>
  <c r="F330"/>
  <c r="H336"/>
  <c r="G336"/>
  <c r="F336"/>
  <c r="H340"/>
  <c r="G340"/>
  <c r="F340"/>
  <c r="H343"/>
  <c r="G343"/>
  <c r="F343"/>
  <c r="H345"/>
  <c r="G345"/>
  <c r="F345"/>
  <c r="H348"/>
  <c r="G348"/>
  <c r="F348"/>
  <c r="H354"/>
  <c r="G354"/>
  <c r="F354"/>
  <c r="H357"/>
  <c r="G357"/>
  <c r="F357"/>
  <c r="H359"/>
  <c r="G359"/>
  <c r="F359"/>
  <c r="H361"/>
  <c r="G361"/>
  <c r="F361"/>
  <c r="H367"/>
  <c r="H366" s="1"/>
  <c r="G367"/>
  <c r="G366" s="1"/>
  <c r="F367"/>
  <c r="F366" s="1"/>
  <c r="H371"/>
  <c r="G371"/>
  <c r="F371"/>
  <c r="H374"/>
  <c r="G374"/>
  <c r="F374"/>
  <c r="H377"/>
  <c r="G377"/>
  <c r="F377"/>
  <c r="H381"/>
  <c r="H380" s="1"/>
  <c r="G381"/>
  <c r="G380" s="1"/>
  <c r="F381"/>
  <c r="F380" s="1"/>
  <c r="H386"/>
  <c r="G386"/>
  <c r="F386"/>
  <c r="H390"/>
  <c r="G390"/>
  <c r="F390"/>
  <c r="H393"/>
  <c r="G393"/>
  <c r="F393"/>
  <c r="H397"/>
  <c r="G397"/>
  <c r="F397"/>
  <c r="H407"/>
  <c r="G407"/>
  <c r="F407"/>
  <c r="H414"/>
  <c r="G414"/>
  <c r="F414"/>
  <c r="H416"/>
  <c r="G416"/>
  <c r="F416"/>
  <c r="H419"/>
  <c r="G419"/>
  <c r="F419"/>
  <c r="H421"/>
  <c r="G421"/>
  <c r="F421"/>
  <c r="H425"/>
  <c r="G425"/>
  <c r="H424"/>
  <c r="G424"/>
  <c r="H423"/>
  <c r="G423"/>
  <c r="F425"/>
  <c r="F424" s="1"/>
  <c r="F423" s="1"/>
  <c r="H429"/>
  <c r="G429"/>
  <c r="F429"/>
  <c r="H431"/>
  <c r="G431"/>
  <c r="F431"/>
  <c r="H433"/>
  <c r="G433"/>
  <c r="F433"/>
  <c r="H436"/>
  <c r="H435" s="1"/>
  <c r="G436"/>
  <c r="G435" s="1"/>
  <c r="F436"/>
  <c r="F435" s="1"/>
  <c r="H439"/>
  <c r="G439"/>
  <c r="F439"/>
  <c r="H441"/>
  <c r="G441"/>
  <c r="F441"/>
  <c r="H445"/>
  <c r="G445"/>
  <c r="F445"/>
  <c r="H447"/>
  <c r="G447"/>
  <c r="F447"/>
  <c r="H451"/>
  <c r="G451"/>
  <c r="F451"/>
  <c r="H453"/>
  <c r="G453"/>
  <c r="F453"/>
  <c r="H474"/>
  <c r="G474"/>
  <c r="F474"/>
  <c r="H476"/>
  <c r="G476"/>
  <c r="F476"/>
  <c r="H478"/>
  <c r="G478"/>
  <c r="F478"/>
  <c r="H481"/>
  <c r="G481"/>
  <c r="F481"/>
  <c r="H483"/>
  <c r="G483"/>
  <c r="F483"/>
  <c r="H486"/>
  <c r="H485" s="1"/>
  <c r="G486"/>
  <c r="G485" s="1"/>
  <c r="F486"/>
  <c r="F485" s="1"/>
  <c r="H495"/>
  <c r="G495"/>
  <c r="F495"/>
  <c r="H497"/>
  <c r="G497"/>
  <c r="F497"/>
  <c r="H500"/>
  <c r="G500"/>
  <c r="F500"/>
  <c r="H502"/>
  <c r="G502"/>
  <c r="F502"/>
  <c r="H504"/>
  <c r="G504"/>
  <c r="F504"/>
  <c r="H506"/>
  <c r="G506"/>
  <c r="F506"/>
  <c r="H509"/>
  <c r="G509"/>
  <c r="F509"/>
  <c r="H511"/>
  <c r="G511"/>
  <c r="F511"/>
  <c r="H513"/>
  <c r="G513"/>
  <c r="F513"/>
  <c r="H517"/>
  <c r="G517"/>
  <c r="F517"/>
  <c r="H519"/>
  <c r="G519"/>
  <c r="F519"/>
  <c r="H521"/>
  <c r="G521"/>
  <c r="F521"/>
  <c r="H524"/>
  <c r="G524"/>
  <c r="F524"/>
  <c r="H527"/>
  <c r="G527"/>
  <c r="F527"/>
  <c r="H529"/>
  <c r="G529"/>
  <c r="F529"/>
  <c r="H531"/>
  <c r="G531"/>
  <c r="F531"/>
  <c r="H542"/>
  <c r="G542"/>
  <c r="F542"/>
  <c r="H544"/>
  <c r="G544"/>
  <c r="F544"/>
  <c r="H549"/>
  <c r="G549"/>
  <c r="F549"/>
  <c r="H555"/>
  <c r="G555"/>
  <c r="F555"/>
  <c r="H558"/>
  <c r="G558"/>
  <c r="F558"/>
  <c r="H563"/>
  <c r="G563"/>
  <c r="F563"/>
  <c r="H567"/>
  <c r="G567"/>
  <c r="F567"/>
  <c r="H571"/>
  <c r="G571"/>
  <c r="F571"/>
  <c r="H573"/>
  <c r="G573"/>
  <c r="F573"/>
  <c r="H576"/>
  <c r="G576"/>
  <c r="F576"/>
  <c r="H583"/>
  <c r="G583"/>
  <c r="F583"/>
  <c r="H586"/>
  <c r="G586"/>
  <c r="H585"/>
  <c r="G585"/>
  <c r="F586"/>
  <c r="F585" s="1"/>
  <c r="H590"/>
  <c r="G590"/>
  <c r="G589" s="1"/>
  <c r="G588" s="1"/>
  <c r="H589"/>
  <c r="H588" s="1"/>
  <c r="F590"/>
  <c r="F589" s="1"/>
  <c r="F588" s="1"/>
  <c r="H595"/>
  <c r="G595"/>
  <c r="G594" s="1"/>
  <c r="H594"/>
  <c r="F595"/>
  <c r="F594" s="1"/>
  <c r="H598"/>
  <c r="G598"/>
  <c r="H597"/>
  <c r="G597"/>
  <c r="F598"/>
  <c r="F597" s="1"/>
  <c r="H602"/>
  <c r="G602"/>
  <c r="F602"/>
  <c r="H605"/>
  <c r="G605"/>
  <c r="F605"/>
  <c r="H608"/>
  <c r="G608"/>
  <c r="F608"/>
  <c r="H611"/>
  <c r="G611"/>
  <c r="F611"/>
  <c r="H613"/>
  <c r="G613"/>
  <c r="F613"/>
  <c r="H616"/>
  <c r="H615" s="1"/>
  <c r="G616"/>
  <c r="G615" s="1"/>
  <c r="F616"/>
  <c r="F615" s="1"/>
  <c r="H621"/>
  <c r="H620" s="1"/>
  <c r="G621"/>
  <c r="G620" s="1"/>
  <c r="F621"/>
  <c r="F620" s="1"/>
  <c r="H624"/>
  <c r="G624"/>
  <c r="F624"/>
  <c r="H626"/>
  <c r="G626"/>
  <c r="F626"/>
  <c r="H632"/>
  <c r="H631" s="1"/>
  <c r="G632"/>
  <c r="G631" s="1"/>
  <c r="F632"/>
  <c r="F631" s="1"/>
  <c r="H637"/>
  <c r="G637"/>
  <c r="G636" s="1"/>
  <c r="H636"/>
  <c r="F637"/>
  <c r="F636" s="1"/>
  <c r="H641"/>
  <c r="H640" s="1"/>
  <c r="G641"/>
  <c r="G640" s="1"/>
  <c r="F640"/>
  <c r="F641"/>
  <c r="H645"/>
  <c r="G645"/>
  <c r="H644"/>
  <c r="G644"/>
  <c r="F645"/>
  <c r="F644" s="1"/>
  <c r="H648"/>
  <c r="H647" s="1"/>
  <c r="G648"/>
  <c r="G647" s="1"/>
  <c r="F648"/>
  <c r="F647" s="1"/>
  <c r="H661"/>
  <c r="G661"/>
  <c r="F661"/>
  <c r="H663"/>
  <c r="G663"/>
  <c r="F663"/>
  <c r="H665"/>
  <c r="G665"/>
  <c r="F665"/>
  <c r="H669"/>
  <c r="G669"/>
  <c r="F669"/>
  <c r="H671"/>
  <c r="G671"/>
  <c r="F671"/>
  <c r="H673"/>
  <c r="G673"/>
  <c r="F673"/>
  <c r="H683"/>
  <c r="G683"/>
  <c r="F683"/>
  <c r="H685"/>
  <c r="G685"/>
  <c r="F685"/>
  <c r="H687"/>
  <c r="G687"/>
  <c r="F687"/>
  <c r="F259"/>
  <c r="F258" s="1"/>
  <c r="H410"/>
  <c r="H409" s="1"/>
  <c r="G410"/>
  <c r="G409" s="1"/>
  <c r="F409"/>
  <c r="F406"/>
  <c r="F404" s="1"/>
  <c r="F403" s="1"/>
  <c r="H405"/>
  <c r="H404" s="1"/>
  <c r="H403" s="1"/>
  <c r="G405"/>
  <c r="G404" s="1"/>
  <c r="G403" s="1"/>
  <c r="H97"/>
  <c r="H96" s="1"/>
  <c r="H95" s="1"/>
  <c r="G97"/>
  <c r="G96" s="1"/>
  <c r="G95" s="1"/>
  <c r="F96"/>
  <c r="H13"/>
  <c r="H12" s="1"/>
  <c r="H11" s="1"/>
  <c r="G13"/>
  <c r="G12" s="1"/>
  <c r="G11" s="1"/>
  <c r="F13"/>
  <c r="F12" s="1"/>
  <c r="F11" s="1"/>
  <c r="H681"/>
  <c r="H679" s="1"/>
  <c r="G681"/>
  <c r="G679" s="1"/>
  <c r="G678" s="1"/>
  <c r="G677" s="1"/>
  <c r="F681"/>
  <c r="F679" s="1"/>
  <c r="F678" s="1"/>
  <c r="F677" s="1"/>
  <c r="H540"/>
  <c r="H539" s="1"/>
  <c r="G540"/>
  <c r="F540"/>
  <c r="F539" s="1"/>
  <c r="H547"/>
  <c r="H546" s="1"/>
  <c r="G547"/>
  <c r="G546" s="1"/>
  <c r="F547"/>
  <c r="F546" s="1"/>
  <c r="H643" l="1"/>
  <c r="H593"/>
  <c r="G575"/>
  <c r="F562"/>
  <c r="H562"/>
  <c r="G562"/>
  <c r="F548"/>
  <c r="H548"/>
  <c r="F508"/>
  <c r="H508"/>
  <c r="G494"/>
  <c r="H494"/>
  <c r="H493" s="1"/>
  <c r="G473"/>
  <c r="G450"/>
  <c r="G449" s="1"/>
  <c r="H450"/>
  <c r="H449" s="1"/>
  <c r="F444"/>
  <c r="F443" s="1"/>
  <c r="H444"/>
  <c r="H443" s="1"/>
  <c r="G438"/>
  <c r="F438"/>
  <c r="H438"/>
  <c r="H418"/>
  <c r="G418"/>
  <c r="G402" s="1"/>
  <c r="G307"/>
  <c r="G211"/>
  <c r="F163"/>
  <c r="F162" s="1"/>
  <c r="H163"/>
  <c r="H162" s="1"/>
  <c r="G163"/>
  <c r="G136"/>
  <c r="G135" s="1"/>
  <c r="G508"/>
  <c r="F307"/>
  <c r="H307"/>
  <c r="G252"/>
  <c r="F274"/>
  <c r="H274"/>
  <c r="H273" s="1"/>
  <c r="G274"/>
  <c r="F136"/>
  <c r="F135" s="1"/>
  <c r="F494"/>
  <c r="H630"/>
  <c r="H629" s="1"/>
  <c r="F630"/>
  <c r="G74"/>
  <c r="G73" s="1"/>
  <c r="H678"/>
  <c r="H677" s="1"/>
  <c r="H660"/>
  <c r="H659" s="1"/>
  <c r="G630"/>
  <c r="G623"/>
  <c r="G619" s="1"/>
  <c r="F623"/>
  <c r="H623"/>
  <c r="F593"/>
  <c r="G593"/>
  <c r="F575"/>
  <c r="H575"/>
  <c r="G570"/>
  <c r="F570"/>
  <c r="H570"/>
  <c r="G548"/>
  <c r="F523"/>
  <c r="H523"/>
  <c r="G523"/>
  <c r="F499"/>
  <c r="F493" s="1"/>
  <c r="H499"/>
  <c r="G499"/>
  <c r="G480"/>
  <c r="F480"/>
  <c r="F472" s="1"/>
  <c r="H480"/>
  <c r="G444"/>
  <c r="G443" s="1"/>
  <c r="G428"/>
  <c r="H428"/>
  <c r="H427" s="1"/>
  <c r="G413"/>
  <c r="F413"/>
  <c r="H413"/>
  <c r="H402" s="1"/>
  <c r="G385"/>
  <c r="G384" s="1"/>
  <c r="G370"/>
  <c r="G369" s="1"/>
  <c r="F370"/>
  <c r="H370"/>
  <c r="F211"/>
  <c r="H211"/>
  <c r="H201"/>
  <c r="G201"/>
  <c r="H188"/>
  <c r="F177"/>
  <c r="H177"/>
  <c r="G177"/>
  <c r="H36"/>
  <c r="G36"/>
  <c r="G660"/>
  <c r="G659" s="1"/>
  <c r="H601"/>
  <c r="G601"/>
  <c r="G600" s="1"/>
  <c r="F473"/>
  <c r="H473"/>
  <c r="H385"/>
  <c r="H384" s="1"/>
  <c r="G353"/>
  <c r="G273" s="1"/>
  <c r="G272" s="1"/>
  <c r="F353"/>
  <c r="H353"/>
  <c r="H252"/>
  <c r="G188"/>
  <c r="G162"/>
  <c r="F95"/>
  <c r="F385"/>
  <c r="F384" s="1"/>
  <c r="H10"/>
  <c r="F36"/>
  <c r="F10" s="1"/>
  <c r="G114"/>
  <c r="G94" s="1"/>
  <c r="H114"/>
  <c r="H94" s="1"/>
  <c r="F114"/>
  <c r="F601"/>
  <c r="F600" s="1"/>
  <c r="F201"/>
  <c r="F188"/>
  <c r="H342"/>
  <c r="G342"/>
  <c r="F342"/>
  <c r="F450"/>
  <c r="F449" s="1"/>
  <c r="F418"/>
  <c r="H538"/>
  <c r="F538"/>
  <c r="F428"/>
  <c r="F427" s="1"/>
  <c r="F643"/>
  <c r="H561"/>
  <c r="F369"/>
  <c r="G251"/>
  <c r="G539"/>
  <c r="G10"/>
  <c r="G643"/>
  <c r="F619"/>
  <c r="H619"/>
  <c r="H600"/>
  <c r="G493"/>
  <c r="G472"/>
  <c r="H472"/>
  <c r="F252"/>
  <c r="F251" s="1"/>
  <c r="H251"/>
  <c r="G629"/>
  <c r="G561"/>
  <c r="H369"/>
  <c r="F660"/>
  <c r="F659" s="1"/>
  <c r="F401" l="1"/>
  <c r="F94"/>
  <c r="G538"/>
  <c r="G537" s="1"/>
  <c r="F402"/>
  <c r="H401"/>
  <c r="G427"/>
  <c r="G401" s="1"/>
  <c r="F561"/>
  <c r="F629"/>
  <c r="G176"/>
  <c r="G9"/>
  <c r="H176"/>
  <c r="H537"/>
  <c r="F9"/>
  <c r="H9"/>
  <c r="F176"/>
  <c r="F273"/>
  <c r="F272" s="1"/>
  <c r="F537"/>
  <c r="H272"/>
  <c r="G689" l="1"/>
  <c r="H689"/>
  <c r="F689"/>
</calcChain>
</file>

<file path=xl/sharedStrings.xml><?xml version="1.0" encoding="utf-8"?>
<sst xmlns="http://schemas.openxmlformats.org/spreadsheetml/2006/main" count="2062" uniqueCount="656">
  <si>
    <t>к Решению Совета народных депутатов</t>
  </si>
  <si>
    <t>Приложение № 8</t>
  </si>
  <si>
    <t>Наименование</t>
  </si>
  <si>
    <t>Целевая статья</t>
  </si>
  <si>
    <t>Вид расходов</t>
  </si>
  <si>
    <t>Раздел</t>
  </si>
  <si>
    <t>Подраз- дел</t>
  </si>
  <si>
    <t>2019 год</t>
  </si>
  <si>
    <t>2020 год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</si>
  <si>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расходов, разделам, подразделам классификации расходов бюджета округа Муром на 2019 год и плановый период 2020 и 2021 годов</t>
  </si>
  <si>
    <t>2021 год</t>
  </si>
  <si>
    <t xml:space="preserve">  Муниципальная программа "Жилищно-коммунальное хозяйство и благоустройство округа Муром на 2019-2021 годы"</t>
  </si>
  <si>
    <t xml:space="preserve">    Подпрограмма "Благоустройство территории округа Муром на 2019-2021 годы"</t>
  </si>
  <si>
    <t xml:space="preserve">      Основное мероприятие «Создание условий для реализации муниципальной программы»</t>
  </si>
  <si>
    <t xml:space="preserve">        Расходы на обеспечение деятельности органов местного самоуправления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</si>
  <si>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
внебюджетными фондами
</t>
  </si>
  <si>
    <t xml:space="preserve">          Закупка товаров, работ и услуг для обеспечения государственных (муниципальных) нужд</t>
  </si>
  <si>
    <t xml:space="preserve">        Расходы на обеспечение деятельности муниципального казенного учреждения «Муромстройзаказчик»</t>
  </si>
  <si>
    <t xml:space="preserve">          Иные бюджетные ассигнования</t>
  </si>
  <si>
    <t xml:space="preserve">        Расходы на обеспечение деятельности централизованных бухгалтерий</t>
  </si>
  <si>
    <t xml:space="preserve">      Основное мероприятие «Обеспечение мероприятий по благоустройству и озеленению территории округа»</t>
  </si>
  <si>
    <t xml:space="preserve">        Расходы на обеспечение деятельности (оказание услуг) учреждений по благоустройству территории</t>
  </si>
  <si>
    <t xml:space="preserve">          Предоставление субсидий бюджетным, автономным учреждениям и иным некоммерческим организациям
</t>
  </si>
  <si>
    <t xml:space="preserve">        Благоустройство и текущее содержание кладбищ и мемориалов</t>
  </si>
  <si>
    <t xml:space="preserve">        Обслуживание прочих объектов благоустройства</t>
  </si>
  <si>
    <t xml:space="preserve">      Основное мероприятие «Техническое обслуживание и энергоснабжение сетей уличного освещения округа»</t>
  </si>
  <si>
    <t xml:space="preserve">        Организация освещения улиц</t>
  </si>
  <si>
    <t xml:space="preserve">        Содержание и эксплуатация уличного освещения</t>
  </si>
  <si>
    <t xml:space="preserve">      Основное мероприятие «Отлов, подбор и утилизация безнадзорных животных»</t>
  </si>
  <si>
    <t xml:space="preserve">        Осуществление отдельных государственных полномочий Владимирской области в сфере обращения с безнадзорными животными</t>
  </si>
  <si>
    <t xml:space="preserve">    Подпрограмма "Модернизация объектов коммунальной инфраструктуры округа Муром на 2019-2021 годы"</t>
  </si>
  <si>
    <t xml:space="preserve">      Основное мероприятие "Строительство, реконструкция и техническое перевооружение объектов водоснабжения и водоотведения"</t>
  </si>
  <si>
    <t xml:space="preserve">        Строительство (реконструкция) объектов муниципальной собственности округа</t>
  </si>
  <si>
    <t xml:space="preserve">          Капитальные вложения в объекты государственной (муниципальной) собственности</t>
  </si>
  <si>
    <t xml:space="preserve">      Основное мероприятие «Разработка комплексных схем инженерного обеспечения округа Муром»</t>
  </si>
  <si>
    <t xml:space="preserve">        Актуализация схем теплоснабжения, водоснабжения и водоотведения</t>
  </si>
  <si>
    <t xml:space="preserve">    Подпрограмма "Реконструкция и капитальный ремонт общего имущества многоквартирных домов в округе Муром на 2019-2021 годы"</t>
  </si>
  <si>
    <t xml:space="preserve">      Основное мероприятие «Исполнение обязательств округа по финансовому обеспечению капитального ремонта многоквартирных домов"</t>
  </si>
  <si>
    <t xml:space="preserve">        Взносы в региональный фонд капитального ремонта</t>
  </si>
  <si>
    <t xml:space="preserve">    Подпрограмма "Обеспечение безопасности дорожного движения и транспортного обслуживания населения на территории округа Муром на 2019-2021 годы"</t>
  </si>
  <si>
    <t xml:space="preserve">      Основное мероприятие «Совершенствование организации движения транспорта и пешеходов на территории округа»</t>
  </si>
  <si>
    <t xml:space="preserve">        Расходы на обеспечение деятельности (оказание услуг) учреждений в сфере дорожного хозяйства</t>
  </si>
  <si>
    <t xml:space="preserve">        Оборудование уличного освещения на улицах округа</t>
  </si>
  <si>
    <t xml:space="preserve">        Приобретение спецоборудования для оказания помощи при дорожно-транспортных происшествиях</t>
  </si>
  <si>
    <t xml:space="preserve">        Осуществление дорожной деятельности в отношении автомобильных дорог общего пользования местного значения</t>
  </si>
  <si>
    <t xml:space="preserve">      Основное мероприятие «Обеспечение доступности общественного транспорта для различных категорий граждан на территории округа»</t>
  </si>
  <si>
    <t xml:space="preserve">        Обеспечение равной доступности услуг общественного транспорта на территории округа Муром для отдельных категорий граждан</t>
  </si>
  <si>
    <t xml:space="preserve">          Социальное обеспечение и иные выплаты населению</t>
  </si>
  <si>
    <t xml:space="preserve">        Организация проезда обучающихся в общеобразовательных учреждениях, учреждениях начального, среднего и высшего профессионального образования, расположенных на территории округа Муром, транспортом общего пользования</t>
  </si>
  <si>
    <t xml:space="preserve">        Возмещение потерь в доходах организаций железнодорожного транспорта от реализации билетов, связанных с сезонным снижением тарифов</t>
  </si>
  <si>
    <t xml:space="preserve">        Обеспечение равной доступности услуг общественного транспорта для отдельных категорий граждан в муниципальном сообщении</t>
  </si>
  <si>
    <t xml:space="preserve">        Мероприятия по обеспечению равной доступности услуг общественного транспорта для отдельных категорий граждан в муниципальном сообщении</t>
  </si>
  <si>
    <t xml:space="preserve">    Подпрограмма "Обеспечение инженерной и транспортной инфраструктурой земельных участков, предоставляемых (предоставленных) бесплатно для индивидуального жилищного строительства семьям, имеющим троих и более детей в возрасте до 18 лет, в округе Муром до 2021 года"</t>
  </si>
  <si>
    <t xml:space="preserve">      Основное мероприятие «Обеспечение мер социальной поддержки многодетных семей»</t>
  </si>
  <si>
    <t xml:space="preserve">        Обеспечение инженерной и транспортной инфраструктурой земельных участков, предоставляемых (предоставленных) бесплатно для индивидуального жилищного строительства семьям, имеющим троих и более детей в возрасте до 18 лет</t>
  </si>
  <si>
    <t>0100000000</t>
  </si>
  <si>
    <t>0110000000</t>
  </si>
  <si>
    <t>0110100000</t>
  </si>
  <si>
    <t>0110100100</t>
  </si>
  <si>
    <t>01101МС590</t>
  </si>
  <si>
    <t>01101ЦБ590</t>
  </si>
  <si>
    <t>0110200000</t>
  </si>
  <si>
    <t>011020Б590</t>
  </si>
  <si>
    <t>0110210430</t>
  </si>
  <si>
    <t>0110210440</t>
  </si>
  <si>
    <t>0110300000</t>
  </si>
  <si>
    <t>0110310450</t>
  </si>
  <si>
    <t>0110360070</t>
  </si>
  <si>
    <t>0110400000</t>
  </si>
  <si>
    <t>0110470920</t>
  </si>
  <si>
    <t>0120000000</t>
  </si>
  <si>
    <t>0120100000</t>
  </si>
  <si>
    <t>0120140010</t>
  </si>
  <si>
    <t>0120200000</t>
  </si>
  <si>
    <t>0120210350</t>
  </si>
  <si>
    <t>0130000000</t>
  </si>
  <si>
    <t>0130100000</t>
  </si>
  <si>
    <t>0130110170</t>
  </si>
  <si>
    <t>0140000000</t>
  </si>
  <si>
    <t>0140100000</t>
  </si>
  <si>
    <t>014010Д590</t>
  </si>
  <si>
    <t>0140110380</t>
  </si>
  <si>
    <t>0140110400</t>
  </si>
  <si>
    <t>0140200000</t>
  </si>
  <si>
    <t>0140220040</t>
  </si>
  <si>
    <t>0140220050</t>
  </si>
  <si>
    <t>0140260010</t>
  </si>
  <si>
    <t>0140270150</t>
  </si>
  <si>
    <t>01402S0150</t>
  </si>
  <si>
    <t>0150000000</t>
  </si>
  <si>
    <t>0150100000</t>
  </si>
  <si>
    <t>0150170050</t>
  </si>
  <si>
    <t>01501S0050</t>
  </si>
  <si>
    <t>100</t>
  </si>
  <si>
    <t>200</t>
  </si>
  <si>
    <t>800</t>
  </si>
  <si>
    <t>600</t>
  </si>
  <si>
    <t>400</t>
  </si>
  <si>
    <t>300</t>
  </si>
  <si>
    <t>05</t>
  </si>
  <si>
    <t>03</t>
  </si>
  <si>
    <t>04</t>
  </si>
  <si>
    <t>02</t>
  </si>
  <si>
    <t>12</t>
  </si>
  <si>
    <t>01</t>
  </si>
  <si>
    <t>09</t>
  </si>
  <si>
    <t>10</t>
  </si>
  <si>
    <t>08</t>
  </si>
  <si>
    <t xml:space="preserve">  Муниципальная программа "Укрепление единства российской нации и этнокультурное развитие народов в округе Муром на 2019-2021 годы"</t>
  </si>
  <si>
    <t xml:space="preserve">      Основное мероприятие «Мероприятия, направленные на укрепление гражданского единства и гармонизацию межнациональных отношений»</t>
  </si>
  <si>
    <t xml:space="preserve">        Организация и проведение конкурсов и выставок, направленных на формирование общероссийского гражданского самосознания</t>
  </si>
  <si>
    <t xml:space="preserve">        Профилактика этнополитического и религиозно-политического экстремизма, ксенофобии и нетерпимости</t>
  </si>
  <si>
    <t xml:space="preserve">      Основное мероприятие «Содействие этнокультурному многообразию народов России, проживающих на территории округа Муром»</t>
  </si>
  <si>
    <t xml:space="preserve">        Проведение традиционных праздников, фестивалей, конкурсов</t>
  </si>
  <si>
    <t xml:space="preserve">  Муниципальная программа "Развитие физической культуры и спорта в округе Муром на 2019-2021 годы"</t>
  </si>
  <si>
    <t xml:space="preserve">        Ежемесячные денежные выплаты заслуженным работникам физической культуры и спорта</t>
  </si>
  <si>
    <t xml:space="preserve">      Основное мероприятие «Обеспечение подготовки спортивного резерва для спортивных сборных команд»</t>
  </si>
  <si>
    <t xml:space="preserve">        Реализация программ спортивной подготовки в соответствии с требованиями федеральных стандартов спортивной подготовки</t>
  </si>
  <si>
    <t xml:space="preserve">        Расходы на обеспечение деятельности (оказание услуг) физкультурно-спортивных учреждений</t>
  </si>
  <si>
    <t xml:space="preserve">      Основное мероприятие «Обеспечение условий для развития на территории округа физической культуры и массового спорта, организация проведения официальных физкультурно-оздоровительных и спортивных мероприятий округа»</t>
  </si>
  <si>
    <t xml:space="preserve">        Организация и проведение мероприятий по антинаркотической пропаганде</t>
  </si>
  <si>
    <t xml:space="preserve">        Организация профилактических мероприятий по безнадзорности и правонарушениям среди детей и подростков</t>
  </si>
  <si>
    <t xml:space="preserve">        Реализация календарного плана физкультурно-оздоровительных и спортивных мероприятий округа Муром</t>
  </si>
  <si>
    <t xml:space="preserve">      Основное мероприятие «Развитие инфраструктуры физической культуры и спорта в округе Муром»</t>
  </si>
  <si>
    <t xml:space="preserve">        Софинансирование строительства и реконструкции объектов спортивной направленности</t>
  </si>
  <si>
    <t xml:space="preserve">        Строительство и реконструкция объектов спортивной направленности</t>
  </si>
  <si>
    <t xml:space="preserve">      Основное мероприятие «Создание условий для развития отдельных видов спорта в округе Муром»</t>
  </si>
  <si>
    <t xml:space="preserve">        Оказание поддержки некоммерческим организациям, осуществляющим деятельность в сфере физической культуры и спорта на территории округа Муром</t>
  </si>
  <si>
    <t>0200000000</t>
  </si>
  <si>
    <t>0200100000</t>
  </si>
  <si>
    <t>0200110500</t>
  </si>
  <si>
    <t>0200110510</t>
  </si>
  <si>
    <t>0200200000</t>
  </si>
  <si>
    <t>0200210520</t>
  </si>
  <si>
    <t>0300000000</t>
  </si>
  <si>
    <t>0300100000</t>
  </si>
  <si>
    <t>0300100100</t>
  </si>
  <si>
    <t>0300120010</t>
  </si>
  <si>
    <t>03001ЦБ590</t>
  </si>
  <si>
    <t>0300200000</t>
  </si>
  <si>
    <t>0300271700</t>
  </si>
  <si>
    <t>03002S1700</t>
  </si>
  <si>
    <t>03002УФ590</t>
  </si>
  <si>
    <t>0300300000</t>
  </si>
  <si>
    <t>0300310120</t>
  </si>
  <si>
    <t>0300310260</t>
  </si>
  <si>
    <t>0300310270</t>
  </si>
  <si>
    <t>0300400000</t>
  </si>
  <si>
    <t>0300471410</t>
  </si>
  <si>
    <t>03004S1410</t>
  </si>
  <si>
    <t>0300500000</t>
  </si>
  <si>
    <t>0300560060</t>
  </si>
  <si>
    <t>07</t>
  </si>
  <si>
    <t>11</t>
  </si>
  <si>
    <t xml:space="preserve">  Муниципальная программа "Молодежь Мурома" на 2019-2021 годы</t>
  </si>
  <si>
    <t xml:space="preserve">        Поддержка приоритетных направлений развития отрасли образования (финансовое обеспечение мероприятий, возникающих в связи с поэтапным доведением к 2018 году оплаты труда педагогических работников муниципальных образовательных организаций дополнительного образования детей до уровня не менее 100 % от уровня средней заработной платы учителей в регионе)</t>
  </si>
  <si>
    <t xml:space="preserve">        Расходы на обеспечение деятельности (оказание услуг) учреждений по внешкольной работе с детьми</t>
  </si>
  <si>
    <t xml:space="preserve">  Муниципальная программa управления муниципальными финансами и муниципальным долгом округа Муром на 2019-2021 годы</t>
  </si>
  <si>
    <t xml:space="preserve">    Подпрограмма «Нормативно-методическое обеспечение и организация бюджетного процесса в округе Муром»</t>
  </si>
  <si>
    <t xml:space="preserve">      Основное мероприятие «Организационно-методическое обеспечение бюджетного процесса в округе Муром, формирование и исполнение бюджета округа»</t>
  </si>
  <si>
    <t xml:space="preserve">      Основное мероприятие «Управление резервом финансовых и материальных ресурсов для ликвидации чрезвычайных ситуаций»</t>
  </si>
  <si>
    <t xml:space="preserve">        Резерв финансовых и материальных ресурсов для ликвидации чрезвычайных ситуаций</t>
  </si>
  <si>
    <t xml:space="preserve">    Подпрограмма «Управление муниципальным долгом округа Муром»</t>
  </si>
  <si>
    <t xml:space="preserve">      Основное мероприятие «Обеспечение своевременности и полноты исполнения долговых обязательств округа Муром»</t>
  </si>
  <si>
    <t xml:space="preserve">        Процентные платежи по муниципальному долгу</t>
  </si>
  <si>
    <t xml:space="preserve">          Обслуживание государственного (муниципального) долга</t>
  </si>
  <si>
    <t xml:space="preserve">    Подпрограмма «Повышение эффективности бюджетных расходов округа Муром»</t>
  </si>
  <si>
    <t xml:space="preserve">      Основное мероприятие «Развитие программно-целевых методов планирования и повышение эффективности бюджетных расходов»</t>
  </si>
  <si>
    <t xml:space="preserve">        Распределение части бюджета принимаемых обязательств между ГРБС в зависимости от оценки качества управления финансами</t>
  </si>
  <si>
    <t>0400000000</t>
  </si>
  <si>
    <t>042017147С</t>
  </si>
  <si>
    <t>04201УВ590</t>
  </si>
  <si>
    <t>0500000000</t>
  </si>
  <si>
    <t>0510000000</t>
  </si>
  <si>
    <t>0510100000</t>
  </si>
  <si>
    <t>0510100100</t>
  </si>
  <si>
    <t>0510200000</t>
  </si>
  <si>
    <t>0510210010</t>
  </si>
  <si>
    <t>0520000000</t>
  </si>
  <si>
    <t>0520100000</t>
  </si>
  <si>
    <t>0520110060</t>
  </si>
  <si>
    <t>700</t>
  </si>
  <si>
    <t>0530000000</t>
  </si>
  <si>
    <t>0530100000</t>
  </si>
  <si>
    <t>0530110160</t>
  </si>
  <si>
    <t>06</t>
  </si>
  <si>
    <t>13</t>
  </si>
  <si>
    <t xml:space="preserve">  Муниципальная программа "Развитие образования в округе Муром" на 2019-2021 годы</t>
  </si>
  <si>
    <t xml:space="preserve">    Подпрограмма «Развитие дошкольного, общего и дополнительного образования детей в округе Муром»</t>
  </si>
  <si>
    <t xml:space="preserve">      Основное мероприятие «Организация предоставления общедоступного и бесплатного дошкольного образования по основным общеобразовательным программам»</t>
  </si>
  <si>
    <t xml:space="preserve">        Модернизация дошкольного образования</t>
  </si>
  <si>
    <t xml:space="preserve">        Денежное поощрение лучших педагогов дошкольных образовательных учреждений</t>
  </si>
  <si>
    <t xml:space="preserve">        Обеспечение государственных гарантий реализации прав на получение общедоступного и бесплатного дошкольного образования</t>
  </si>
  <si>
    <t xml:space="preserve">        Социальная поддержка детей-инвалидов дошкольного возраста</t>
  </si>
  <si>
    <t xml:space="preserve">        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</si>
  <si>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 xml:space="preserve">        Компенсация расходов на оплату жилых помещений, отопления и освещения отдельным категориям граждан в сфере образования</t>
  </si>
  <si>
    <t xml:space="preserve">        Обеспечение профилактики детского дорожно-транспортного травматизма</t>
  </si>
  <si>
    <t xml:space="preserve">        Проведение мероприятий по созданию в образовательных организациях условий для получения детьми-инвалидами качественного образования</t>
  </si>
  <si>
    <t xml:space="preserve">        Оснащение медицинского блока отделений организации медицинской помощи несовершеннолетним, обучающимся в образовательных организациях (дошкольных образовательных и общеобразовательных организациях области), реализующих основные общеобразовательные програм</t>
  </si>
  <si>
    <t xml:space="preserve">        Мероприятия государственной программы Российской Федерации "Доступная среда" на 2011-2025 годы</t>
  </si>
  <si>
    <t xml:space="preserve">        Проведение мероприятий по созданию в дошкольных образовательных организациях условий для получения детьми-инвалидами качественного образования</t>
  </si>
  <si>
    <t xml:space="preserve">        Расходы на обеспечение деятельности (оказание услуг) детских дошкольных учреждений</t>
  </si>
  <si>
    <t xml:space="preserve">      Основное мероприятие «Организация предоставления общедоступного и бесплатного общего образования по основным общеобразовательным программам»</t>
  </si>
  <si>
    <t xml:space="preserve">        Оснащение кабинетов по наркопрофилактике в образовательных учреждениях округа компьютерной техникой, интерактивным оборудованием, мебелью</t>
  </si>
  <si>
    <t xml:space="preserve">        Модернизация общеобразовательных учреждений</t>
  </si>
  <si>
    <t xml:space="preserve">        Денежное поощрение лучших учителей общеобразовательных учреждений</t>
  </si>
  <si>
    <t xml:space="preserve">        Денежное поощрение учащихся общеобразовательных школ</t>
  </si>
  <si>
    <t xml:space="preserve">        Денежное поощрение молодых специалистов остродефицитных специальностей общеобразовательных учреждений</t>
  </si>
  <si>
    <t xml:space="preserve">        Создание в общеобразовательных организациях, расположенных в сельской местности, условий для занятий физической культурой и спортом</t>
  </si>
  <si>
    <t xml:space="preserve">  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</si>
  <si>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 xml:space="preserve">        Организация видеонаблюдения в пунктах проведения экзаменов при проведении государственной итоговой аттестации по образовательным программам среднего общего образования</t>
  </si>
  <si>
    <t xml:space="preserve">        Приобретение транспортных средств для организации бесплатной перевозки обучающихся в муниципальных образовательных организациях, реализующих основные общеобразовательные программы</t>
  </si>
  <si>
    <t xml:space="preserve">        Поддержка приоритетных направлений развития отрасли образования (организация питания обучающихся 1-4 классов в муниципальных образовательных организациях, в частных общеобразовательных организациях по имеющим государственную аккредитацию основным общеобразовательным программам)</t>
  </si>
  <si>
    <t xml:space="preserve">        Организация питания обучающихся 1-4 классов в общеобразовательных учреждениях</t>
  </si>
  <si>
    <t xml:space="preserve">        Расходы на обеспечение деятельности (оказание услуг) общеобразовательных учреждений</t>
  </si>
  <si>
    <t xml:space="preserve">      Основное мероприятие «Организация предоставления дополнительного образования детей»</t>
  </si>
  <si>
    <t xml:space="preserve">        Денежное поощрение лучших педагогов дополнительного образования</t>
  </si>
  <si>
    <t xml:space="preserve">      Основное мероприятие «Организация отдыха детей в каникулярное время»</t>
  </si>
  <si>
    <t xml:space="preserve">        Поддержка приоритетных направлений развития отрасли образования (полная или частичная оплата стоимости путевок в оздоровительные организации)</t>
  </si>
  <si>
    <t xml:space="preserve">        Поддержка приоритетных направлений развития отрасли образования (организация культурно-экскурсионного обслуживания в каникулярный период организованных групп детей)</t>
  </si>
  <si>
    <t xml:space="preserve">        Полная или частичная оплата стоимости путевок в оздоровительные организации</t>
  </si>
  <si>
    <t xml:space="preserve">        Организация культурно-экскурсионного обслуживания в каникулярный период организованных групп детей</t>
  </si>
  <si>
    <t>0600000000</t>
  </si>
  <si>
    <t>0610000000</t>
  </si>
  <si>
    <t>0610100000</t>
  </si>
  <si>
    <t>0610110210</t>
  </si>
  <si>
    <t>0610120100</t>
  </si>
  <si>
    <t>0610170490</t>
  </si>
  <si>
    <t>0610170540</t>
  </si>
  <si>
    <t>0610170560</t>
  </si>
  <si>
    <t>0610170590</t>
  </si>
  <si>
    <t>0610171360</t>
  </si>
  <si>
    <t>0610171430</t>
  </si>
  <si>
    <t>0610171510</t>
  </si>
  <si>
    <t>06101L0270</t>
  </si>
  <si>
    <t>06101S1360</t>
  </si>
  <si>
    <t>06101S1430</t>
  </si>
  <si>
    <t>06101УД590</t>
  </si>
  <si>
    <t>0610200000</t>
  </si>
  <si>
    <t>0610210200</t>
  </si>
  <si>
    <t>0610210230</t>
  </si>
  <si>
    <t>0610220110</t>
  </si>
  <si>
    <t>0610220120</t>
  </si>
  <si>
    <t>0610220180</t>
  </si>
  <si>
    <t>0610270470</t>
  </si>
  <si>
    <t>0610270590</t>
  </si>
  <si>
    <t>0610270960</t>
  </si>
  <si>
    <t>0610271320</t>
  </si>
  <si>
    <t>061027147П</t>
  </si>
  <si>
    <t>0610271510</t>
  </si>
  <si>
    <t>06102S147П</t>
  </si>
  <si>
    <t>06102УШ590</t>
  </si>
  <si>
    <t>0610300000</t>
  </si>
  <si>
    <t>0610320130</t>
  </si>
  <si>
    <t>061037147С</t>
  </si>
  <si>
    <t>06103УВ590</t>
  </si>
  <si>
    <t>0610400000</t>
  </si>
  <si>
    <t>061047147Л</t>
  </si>
  <si>
    <t>061047147Э</t>
  </si>
  <si>
    <t>06104S147Л</t>
  </si>
  <si>
    <t>06104S147Э</t>
  </si>
  <si>
    <t>0620000000</t>
  </si>
  <si>
    <t>0620100000</t>
  </si>
  <si>
    <t>062017065В</t>
  </si>
  <si>
    <t>062017065П</t>
  </si>
  <si>
    <t>0620200000</t>
  </si>
  <si>
    <t>0620270070</t>
  </si>
  <si>
    <t xml:space="preserve">    Подпрограмма «Обеспечение защиты прав и интересов детей-сирот и детей, оставшихся без попечения родителей»</t>
  </si>
  <si>
    <t xml:space="preserve">      Основное мероприятие «Социальная поддержка детей-сирот и детей, оставшихся без попечения родителей»</t>
  </si>
  <si>
    <t xml:space="preserve">        Содержание ребенка в семье опекуна и приемной семье, а также вознаграждение, причитающееся приемному родителю (вознаграждение, причитающееся приемному родителю)</t>
  </si>
  <si>
    <t xml:space="preserve">        Содержание ребенка в семье опекуна и приемной семье, а также вознаграждение, причитающееся приемному родителю (выплаты семьям опекунов на содержание подопечных детей)</t>
  </si>
  <si>
    <t xml:space="preserve">        Содержание ребенка в семье опекуна и приемной семье, а также вознаграждение, причитающееся приемному родителю (выплаты приемной семье на содержание подопечных детей)</t>
  </si>
  <si>
    <t xml:space="preserve">      Основное мероприятие «Участие в осуществлении деятельности по опеке и попечительству»</t>
  </si>
  <si>
    <t xml:space="preserve">        Обеспечение полномочий по организации и осуществлению деятельности по опеке и попечительству в отношении несовершеннолетних граждан</t>
  </si>
  <si>
    <t xml:space="preserve">    Подпрограмма «Обеспечение реализации муниципальной программы «Развитие образования в округе Муром»</t>
  </si>
  <si>
    <t xml:space="preserve">        Расходы на обеспечение деятельности муниципального казенного учреждения «Центр работы с педагогическими кадрами»</t>
  </si>
  <si>
    <t>0630000000</t>
  </si>
  <si>
    <t>000</t>
  </si>
  <si>
    <t>0630100000</t>
  </si>
  <si>
    <t>0630100100</t>
  </si>
  <si>
    <t>0630170590</t>
  </si>
  <si>
    <t>06301ЦБ590</t>
  </si>
  <si>
    <t>06301ЦП590</t>
  </si>
  <si>
    <t>00</t>
  </si>
  <si>
    <t xml:space="preserve">  Муниципальная программа "Обеспечение комфортным жильем населения округа Муром в 2019-2021 годах"</t>
  </si>
  <si>
    <t xml:space="preserve">    Подпрограмма "Обеспечение реализации муниципальной программы "Обеспечение комфортным жильем населения округа Муром в 2019-2021 годах"</t>
  </si>
  <si>
    <t xml:space="preserve">        Осуществление отдельных государственных полномочий по региональному государственному жилищному надзору и лицензионному контролю</t>
  </si>
  <si>
    <t xml:space="preserve">        Расходы на обеспечение деятельности муниципального казенного учреждения «Муниципальный жилищный фонд»</t>
  </si>
  <si>
    <t xml:space="preserve">      Основное мероприятие "Содержание и ремонт жилых помещений муниципального жилищного фонда округа Муром"</t>
  </si>
  <si>
    <t xml:space="preserve">        Расходы на коммунальные услуги и содержание незаселенных жилых помещений муниципального жилищного фонда округа Муром</t>
  </si>
  <si>
    <t xml:space="preserve">        Расходы на проведение капитального ремонта жилых помещений муниципального жилищного фонда округа Муром</t>
  </si>
  <si>
    <t xml:space="preserve">      Основное мероприятие "Установка приборов учета электрической энергии, водоснабжения, газа и замена бытового газоиспользующего оборудования"</t>
  </si>
  <si>
    <t xml:space="preserve">        Расходы по выплате компенсации нанимателям жилых помещений муниципального жилищного фонда округа Муром на возмещение расходов по установке индивидуальных приборов учета электрической энергии, водоснабжения, газа</t>
  </si>
  <si>
    <t xml:space="preserve">        Установка коллективных (общедомовых) приборов учета коммунальных ресурсов в многоквартирных домах</t>
  </si>
  <si>
    <t xml:space="preserve">    Подпрограмма «Обеспечение жильем молодых семей округа Муром»</t>
  </si>
  <si>
    <t xml:space="preserve">      Основное мероприятие «Обеспечение мер социальной поддержки по улучшению жилищных условий молодых семей»</t>
  </si>
  <si>
    <t xml:space="preserve">        Реализация мероприятий по обеспечению жильем молодых семей</t>
  </si>
  <si>
    <t xml:space="preserve">    Подпрограмма «Обеспечение жильем отдельных категорий граждан, установленных законодательством, на территории муниципального образования округ Муром»</t>
  </si>
  <si>
    <t xml:space="preserve">      Основное мероприятие «Обеспечение жильем ветеранов, инвалидов и семей, имеющих детей-инвалидов»</t>
  </si>
  <si>
    <t xml:space="preserve">        Осуществление полномочий по обеспечению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1941 - 1945 годов»</t>
  </si>
  <si>
    <t xml:space="preserve">       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</si>
  <si>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 xml:space="preserve">        Осуществление полномочий по обеспечению жильем отдельных категорий граждан, установленных Федеральным законом от 24 ноября 1995 года №181-ФЗ "О социальной защите инвалидов в Российской Федерации"</t>
  </si>
  <si>
    <t xml:space="preserve">      Основное мероприятие «Оказание мер социальной поддержки нуждающимся в улучшении жилищных условий государственным гражданским служащим Владимирской области, работникам государственных учреждений, финансируемых из областного бюджета, муниципальным служащим и работникам учреждений бюджетной сферы, финансируемых из местных бюджетов»</t>
  </si>
  <si>
    <t xml:space="preserve">        Предоставление жилищных субсидий государственным гражданским служащим Владимирской области, работникам государственных учреждений, финансируемых из областного бюджета, муниципальным служащим и работникам учреждений бюджетной сферы, финансируемых из местных бюджетов</t>
  </si>
  <si>
    <t xml:space="preserve">      Основное мероприятие «Обеспечение дополнительных гарантий прав на имущество и жилое помещение детей-сирот и детей, оставшихся без попечения родителей»</t>
  </si>
  <si>
    <t xml:space="preserve">    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</si>
  <si>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  Подпрограмма «Социальное жилье в округе Муром»</t>
  </si>
  <si>
    <t xml:space="preserve">      Основное мероприятие «Улучшение жилищных условий граждан, признанных нуждающимися в жилых помещениях, предоставляемых по договорам социального найма»</t>
  </si>
  <si>
    <t xml:space="preserve">        Строительство социального жилья и приобретение жилых помещений для граждан, нуждающихся в улучшении жилищных условий</t>
  </si>
  <si>
    <t xml:space="preserve">    Подпрограмма «Обеспечение жильем многодетных семей округа Муром»</t>
  </si>
  <si>
    <t xml:space="preserve">      Основное мероприятие «Оказание мер социальной поддержки многодетным семьям»</t>
  </si>
  <si>
    <t xml:space="preserve">        Обеспечение жильем многодетных семей</t>
  </si>
  <si>
    <t>0700000000</t>
  </si>
  <si>
    <t>0710000000</t>
  </si>
  <si>
    <t>0710200000</t>
  </si>
  <si>
    <t>0710200100</t>
  </si>
  <si>
    <t>0710271370</t>
  </si>
  <si>
    <t>07102ЖФ590</t>
  </si>
  <si>
    <t>0710300000</t>
  </si>
  <si>
    <t>0710310360</t>
  </si>
  <si>
    <t>0710310570</t>
  </si>
  <si>
    <t>0710400000</t>
  </si>
  <si>
    <t>0710420170</t>
  </si>
  <si>
    <t>0710460080</t>
  </si>
  <si>
    <t>0720000000</t>
  </si>
  <si>
    <t>0720100000</t>
  </si>
  <si>
    <t>07201L4970</t>
  </si>
  <si>
    <t>0730000000</t>
  </si>
  <si>
    <t>0730100000</t>
  </si>
  <si>
    <t>0730151340</t>
  </si>
  <si>
    <t>0730151350</t>
  </si>
  <si>
    <t>0730151760</t>
  </si>
  <si>
    <t>0730200000</t>
  </si>
  <si>
    <t>0730270040</t>
  </si>
  <si>
    <t>0730300000</t>
  </si>
  <si>
    <t>0730371420</t>
  </si>
  <si>
    <t>07303R0820</t>
  </si>
  <si>
    <t>0740000000</t>
  </si>
  <si>
    <t>0740100000</t>
  </si>
  <si>
    <t>0740170090</t>
  </si>
  <si>
    <t>07401S0090</t>
  </si>
  <si>
    <t>0750000000</t>
  </si>
  <si>
    <t>0750100000</t>
  </si>
  <si>
    <t>0750170810</t>
  </si>
  <si>
    <t>07501S0810</t>
  </si>
  <si>
    <t xml:space="preserve">  Муниципальная программа "Совершенствование управления муниципальной собственностью муниципального образования округ Муром на 2019-2021 годы"</t>
  </si>
  <si>
    <t xml:space="preserve">      Основное мероприятие «Оценка недвижимости, признание прав и регулирование отношений по государственной и муниципальной собственности»</t>
  </si>
  <si>
    <t xml:space="preserve">        Проведение работ по инвентаризации объектов недвижимости казны округа Муром</t>
  </si>
  <si>
    <t xml:space="preserve">        Выполнение межевых работ</t>
  </si>
  <si>
    <t xml:space="preserve">        Оценка рыночной стоимости арендной платы и муниципального имущества</t>
  </si>
  <si>
    <t xml:space="preserve">      Основное мероприятие «Содержание объектов муниципальной собственности»</t>
  </si>
  <si>
    <t xml:space="preserve">        Уплата налогов и сборов за объекты муниципальной собственности</t>
  </si>
  <si>
    <t xml:space="preserve">        Содержание и текущий ремонт общего имущества многоквартирных домов, в которых находятся нежилые помещения, отнесенные к казне округа Муром, а также расходы на коммунальные услуги неиспользуемых нежилых помещений (зданий), отнесенных к казне округа Муром</t>
  </si>
  <si>
    <t xml:space="preserve">  Муниципальная программа сохранения и развития культуры округа Муром на 2019-2021 годы</t>
  </si>
  <si>
    <t xml:space="preserve">      Основное мероприятие «Организация предоставления дополнительного образования детей в муниципальных образовательных учреждениях, подведомственных управлению культуры»</t>
  </si>
  <si>
    <t xml:space="preserve">        Повышение оплаты труда работников культуры и педагогических работников дополнительного образования детей сферы культуры в соответствии с указами Президента Российской Федерации от 7 мая 2012 года № 597, от 1 июня 2012 года № 761</t>
  </si>
  <si>
    <t xml:space="preserve">      Основное мероприятие «Организация библиотечного обслуживания населения, комплектование обеспечения сохранности библиотечных фондов библиотек округа»</t>
  </si>
  <si>
    <t xml:space="preserve">        Предоставление мер социальной поддержки по оплате за содержание и ремонт жилья, услуг теплоснабжения (отопления) и электроснабжения работникам культуры и педагогическим работникам образовательных учреждений дополнительного образования детей в сфере культуры</t>
  </si>
  <si>
    <t xml:space="preserve">        Государственная поддержка отрасли культуры на комплектование книжных фондов муниципальных общедоступных библиотек субъектов Российской Федерации</t>
  </si>
  <si>
    <t xml:space="preserve">        Расходы на обеспечение деятельности (оказание услуг) библиотек</t>
  </si>
  <si>
    <t xml:space="preserve">      Основное мероприятие «Создание условий для организации досуга и обеспечения жителей округа услугами организаций культуры»</t>
  </si>
  <si>
    <t xml:space="preserve">        Организация и проведение областных конкурсов, праздников, акций и иных мероприятий, направленных на повышение престижа семьи</t>
  </si>
  <si>
    <t xml:space="preserve">        Организация и проведение мероприятий, направленных на повышение престижа семьи</t>
  </si>
  <si>
    <t xml:space="preserve">        Расходы на обеспечение деятельности (оказание услуг) учреждений в сфере культуры</t>
  </si>
  <si>
    <t xml:space="preserve">        Денежная премия за присвоение звания "Человек года"</t>
  </si>
  <si>
    <t>0800000000</t>
  </si>
  <si>
    <t>0800100000</t>
  </si>
  <si>
    <t>0800110070</t>
  </si>
  <si>
    <t>0800110080</t>
  </si>
  <si>
    <t>0800110090</t>
  </si>
  <si>
    <t>0800200000</t>
  </si>
  <si>
    <t>0800210050</t>
  </si>
  <si>
    <t>0800210100</t>
  </si>
  <si>
    <t>0800300000</t>
  </si>
  <si>
    <t>0800300100</t>
  </si>
  <si>
    <t>0900000000</t>
  </si>
  <si>
    <t>0900100000</t>
  </si>
  <si>
    <t>0900170390</t>
  </si>
  <si>
    <t>09001УВ590</t>
  </si>
  <si>
    <t>0900200000</t>
  </si>
  <si>
    <t>0900270230</t>
  </si>
  <si>
    <t>0900270390</t>
  </si>
  <si>
    <t>09002L5192</t>
  </si>
  <si>
    <t>09002УБ590</t>
  </si>
  <si>
    <t>0900300000</t>
  </si>
  <si>
    <t>0900310120</t>
  </si>
  <si>
    <t>0900370230</t>
  </si>
  <si>
    <t>0900370390</t>
  </si>
  <si>
    <t>0900371530</t>
  </si>
  <si>
    <t>09003S1530</t>
  </si>
  <si>
    <t>09003УК590</t>
  </si>
  <si>
    <t>0900400000</t>
  </si>
  <si>
    <t>0900400100</t>
  </si>
  <si>
    <t>0900420210</t>
  </si>
  <si>
    <t>0900470230</t>
  </si>
  <si>
    <t>09004ЦБ590</t>
  </si>
  <si>
    <t xml:space="preserve">  Муниципальная программа округа Муром "Муниципальное управление" на 2019-2021 годы</t>
  </si>
  <si>
    <t xml:space="preserve">    Подпрограмма «Повышение качества предоставления муниципальных услуг, исполнения муниципальных функций и переданных государственных полномочий»</t>
  </si>
  <si>
    <t xml:space="preserve">      Основное мероприятие «Решение вопросов местного значения»</t>
  </si>
  <si>
    <t xml:space="preserve">        Обеспечение территорий документацией для осуществления градостроительной деятельности</t>
  </si>
  <si>
    <t xml:space="preserve">        Расходы на выплаты по оплате труда Главы муниципального образования</t>
  </si>
  <si>
    <t xml:space="preserve">      Основное мероприятие «Реализация отдельных переданных государственных полномочий в соответствии с обязательными для исполнения нормативными правовыми актами»</t>
  </si>
  <si>
    <t xml:space="preserve">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</si>
  <si>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Осуществление полномочий Российской Федерации на государственную регистрацию актов гражданского состояния</t>
  </si>
  <si>
    <t xml:space="preserve">        Обеспечение деятельности комиссий по делам несовершеннолетних и защите их прав</t>
  </si>
  <si>
    <t xml:space="preserve">        Осуществление отдельных государственных полномочий по вопросам административного законодательства</t>
  </si>
  <si>
    <t xml:space="preserve">    Подпрограмма «Обеспечение условий для осуществления деятельности Администрации округа Муром. Информатизация органов местного самоуправления»</t>
  </si>
  <si>
    <t xml:space="preserve">      Основное мероприятие «Материально-техническое обеспечение реализации муниципальной программы»</t>
  </si>
  <si>
    <t xml:space="preserve">        Расходы на обеспечение деятельности муниципального казенного учреждения «Управление административными зданиями и транспортом»</t>
  </si>
  <si>
    <t xml:space="preserve">      Основное мероприятие «Информационное обеспечение, техническое оснащение и обслуживание рабочих мест сотрудников»</t>
  </si>
  <si>
    <t xml:space="preserve">        Автоматизация и информатизация рабочих мест работников органов местного самоуправления и подведомственных учреждений</t>
  </si>
  <si>
    <t xml:space="preserve">        Техническое обслуживание автоматизированного рабочего места муниципального служащего</t>
  </si>
  <si>
    <t xml:space="preserve">        Расходы на обеспечение деятельности учреждений, подведомственных администрации округа</t>
  </si>
  <si>
    <t xml:space="preserve">        Реализация решения Совета народных депутатов от 25.09.2012 № 252 «Об утверждении Положения о выплате денежной компенсации членам домовых и уличных комитетов в новой редакции»</t>
  </si>
  <si>
    <t xml:space="preserve">      Основное мероприятие «Создание условий для деятельности народных дружин»</t>
  </si>
  <si>
    <t xml:space="preserve">        Поощрение членов добровольной народной дружины</t>
  </si>
  <si>
    <t xml:space="preserve">    Подпрограмма «Освещение вопросов деятельности Администрации округа Муром»</t>
  </si>
  <si>
    <t xml:space="preserve">      Основное мероприятие «Освещение деятельности органов местного самоуправления в средствах массовой информации»</t>
  </si>
  <si>
    <t xml:space="preserve">        Расходы на обеспечение деятельности (оказание услуг) муниципального автономного учреждения «Муромский меридиан»</t>
  </si>
  <si>
    <t xml:space="preserve">  Муниципальная программа содействия развитию малого и среднего предпринимательства в округе Муром на 2019-2021 годы</t>
  </si>
  <si>
    <t xml:space="preserve">      Основное мероприятие «Оказание финансовой поддержки субъектам малого и среднего предпринимательства»</t>
  </si>
  <si>
    <t xml:space="preserve">        Поддержка начинающих субъектов малого и среднего предпринимательства - гранты начинающим субъектам малого и среднего предпринимательства, в т.ч. инновационной сферы</t>
  </si>
  <si>
    <t xml:space="preserve">      Основное мероприятие «Развитие инфраструктуры поддержки малого и среднего предпринимательства»</t>
  </si>
  <si>
    <t xml:space="preserve">        Расходы на обеспечение деятельности (оказание услуг) муниципального бюджетного учреждения «Муромский бизнес-инкубатор»</t>
  </si>
  <si>
    <t>1000000000</t>
  </si>
  <si>
    <t>1010000000</t>
  </si>
  <si>
    <t>1010100000</t>
  </si>
  <si>
    <t>1010100100</t>
  </si>
  <si>
    <t>1010170080</t>
  </si>
  <si>
    <t>10101S0080</t>
  </si>
  <si>
    <t>10101Г0100</t>
  </si>
  <si>
    <t>1010200000</t>
  </si>
  <si>
    <t>1010251200</t>
  </si>
  <si>
    <t>1010259300</t>
  </si>
  <si>
    <t>1010270010</t>
  </si>
  <si>
    <t>1010270020</t>
  </si>
  <si>
    <t>1020000000</t>
  </si>
  <si>
    <t>1020100000</t>
  </si>
  <si>
    <t>10201УТ590</t>
  </si>
  <si>
    <t>10201ЦБ590</t>
  </si>
  <si>
    <t>1020200000</t>
  </si>
  <si>
    <t>1020210140</t>
  </si>
  <si>
    <t>1020210150</t>
  </si>
  <si>
    <t>1020300000</t>
  </si>
  <si>
    <t>102030А590</t>
  </si>
  <si>
    <t>1020320060</t>
  </si>
  <si>
    <t>1020400000</t>
  </si>
  <si>
    <t>1020420140</t>
  </si>
  <si>
    <t>1030000000</t>
  </si>
  <si>
    <t>1030100000</t>
  </si>
  <si>
    <t>10301ММ590</t>
  </si>
  <si>
    <t>1100000000</t>
  </si>
  <si>
    <t>1100100000</t>
  </si>
  <si>
    <t>1100160030</t>
  </si>
  <si>
    <t>1100200000</t>
  </si>
  <si>
    <t>11002БИ590</t>
  </si>
  <si>
    <t>14</t>
  </si>
  <si>
    <t xml:space="preserve">  Муниципальная программа "Муниципальная поддержка общественных организаций, гражданских инициатив и оказание социальной помощи населению округа Муром на 2019-2021 годы"</t>
  </si>
  <si>
    <t xml:space="preserve">      Основное мероприятие "Оказание мер социальной поддержки и социальной помощи отдельным категориям граждан"</t>
  </si>
  <si>
    <t xml:space="preserve">        Помощь гражданам, оказавшимся в трудной жизненной ситуации</t>
  </si>
  <si>
    <t xml:space="preserve">        Адресная социальная помощь больным туберкулезом</t>
  </si>
  <si>
    <t xml:space="preserve">        Материальная помощь родителям детей, больных сахарным диабетом</t>
  </si>
  <si>
    <t xml:space="preserve">        Организация бесплатного посещения бани малоимущими гражданами</t>
  </si>
  <si>
    <t xml:space="preserve">        Проведение химической дезинфекции в очагах туберкулеза</t>
  </si>
  <si>
    <t xml:space="preserve">  Муниципальная программа "Развитие муниципальной службы в округе Муром на 2019-2021 годы"</t>
  </si>
  <si>
    <t xml:space="preserve">      Основное мероприятие "Профессиональное развитие кадрового потенциала муниципальных служащих"</t>
  </si>
  <si>
    <t xml:space="preserve">        Повышение квалификации муниципальных служащих администрации округа Муром</t>
  </si>
  <si>
    <t xml:space="preserve">      Основное мероприятие "Кадровые технологии на муниципальной службе"</t>
  </si>
  <si>
    <t xml:space="preserve">        Организация и проведение первого этапа конкурса "Лучший муниципальный служащий Владимирской области"</t>
  </si>
  <si>
    <t xml:space="preserve">        Пенсия за выслугу лет муниципальным служащим (при достижении установленных условий)</t>
  </si>
  <si>
    <t>1200000000</t>
  </si>
  <si>
    <t>1200100000</t>
  </si>
  <si>
    <t>1200120030</t>
  </si>
  <si>
    <t>1200120070</t>
  </si>
  <si>
    <t>1200120080</t>
  </si>
  <si>
    <t>1200120090</t>
  </si>
  <si>
    <t>1200120160</t>
  </si>
  <si>
    <t>1200200000</t>
  </si>
  <si>
    <t>120020А590</t>
  </si>
  <si>
    <t>1300000000</t>
  </si>
  <si>
    <t>1300100000</t>
  </si>
  <si>
    <t>1300110020</t>
  </si>
  <si>
    <t>1300200000</t>
  </si>
  <si>
    <t>1300210130</t>
  </si>
  <si>
    <t>1300220020</t>
  </si>
  <si>
    <t xml:space="preserve">  Муниципальная программа "Защита населения и территории округа Муром от чрезвычайных ситуаций, обеспечение пожарной безопасности и безопасности людей на водных объектах на 2019-2021 годы"</t>
  </si>
  <si>
    <t xml:space="preserve">    Подпрограмма "Развитие системы гражданской обороны, пожарной безопасности, безопасности на водных объектах, защиты населения от чрезвычайных ситуаций и снижения рисков их возникновения на территории округа Муром на 2019-2021 годы"</t>
  </si>
  <si>
    <t xml:space="preserve">      Основное мероприятие «Развитие и совершенствование деятельности муниципального казенного учреждения «Управление по делам гражданской обороны и ликвидации чрезвычайных ситуаций на территории округа Муром»</t>
  </si>
  <si>
    <t xml:space="preserve">        Расходы на обеспечение деятельности муниципального казенного учреждения «Управление по делам гражданской обороны и ликвидации чрезвычайных ситуаций на территории округа Муром»</t>
  </si>
  <si>
    <t xml:space="preserve">      Основное мероприятие «Развитие и совершенствование технической оснащенности сил и средств для ликвидации чрезвычайных ситуаций»</t>
  </si>
  <si>
    <t xml:space="preserve">        Обеспечение защиты населения от чрезвычайных ситуаций и снижение рисков их возникновения</t>
  </si>
  <si>
    <t xml:space="preserve">      Основное мероприятие «Развитие и совершенствование системы подготовки к действиям в чрезвычайных ситуациях»</t>
  </si>
  <si>
    <t xml:space="preserve">        Развитие и совершенствование методической и материально-технической базы курсов ГО для подготовки руководящего состава и специалистов нештатных аварийно-спасательных формирований, спасателей и населения к действиям в чрезвычайных ситуациях</t>
  </si>
  <si>
    <t xml:space="preserve">    Подпрограмма "Построение, развитие и эксплуатация аппаратно-программного комплекса технических средств "Безопасный город" на территории округа Муром на 2019-2021 годы"</t>
  </si>
  <si>
    <t xml:space="preserve">      Основное мероприятие «Оборудование рабочего места оператора для обеспечения работоспособности сегментов АПК «Безопасный город»</t>
  </si>
  <si>
    <t xml:space="preserve">        Обеспечение функционирования АПК «Безопасный город»</t>
  </si>
  <si>
    <t xml:space="preserve">      Основное мероприятие «Развитие и совершенствование элементов АПК «Безопасный город»</t>
  </si>
  <si>
    <t xml:space="preserve">        Модернизация и обслуживание элементов АПК «Безопасный город»</t>
  </si>
  <si>
    <t xml:space="preserve">  Муниципальная программа "Профилактика терроризма, экстремизма и ликвидация последствий проявления терроризма и экстремизма на территории округа Муром на 2019-2021 годы"</t>
  </si>
  <si>
    <t xml:space="preserve">      Основное мероприятие "Профилактика и предупреждение террористических и экстремистских проявлений, развитие и совершенствование технической оснащенности подведомственных объектов"</t>
  </si>
  <si>
    <t xml:space="preserve">        Мероприятия по предупреждению терроризма и экстремизма в сферах молодежной политики, дополнительного образования, библиотечного обслуживания</t>
  </si>
  <si>
    <t xml:space="preserve">        Мероприятия по предупреждению терроризма и экстремизма в сфере спорта</t>
  </si>
  <si>
    <t xml:space="preserve">        Мероприятия по обеспечению антитеррористической защищенности учреждений образования и предупреждению правонарушений и антиобщественных действий несовершеннолетних</t>
  </si>
  <si>
    <t xml:space="preserve">        Мероприятия по предупреждению терроризма и экстремизма в сферах молодежной политики и дополнительного образования</t>
  </si>
  <si>
    <t>1400000000</t>
  </si>
  <si>
    <t>1410000000</t>
  </si>
  <si>
    <t>1410100000</t>
  </si>
  <si>
    <t>1410200000</t>
  </si>
  <si>
    <t>1410210460</t>
  </si>
  <si>
    <t>1410300000</t>
  </si>
  <si>
    <t>1410310470</t>
  </si>
  <si>
    <t>1420000000</t>
  </si>
  <si>
    <t>1420100000</t>
  </si>
  <si>
    <t>1420110480</t>
  </si>
  <si>
    <t>1420200000</t>
  </si>
  <si>
    <t>1420210490</t>
  </si>
  <si>
    <t>1600000000</t>
  </si>
  <si>
    <t>1600100000</t>
  </si>
  <si>
    <t>1600171290</t>
  </si>
  <si>
    <t>1600171300</t>
  </si>
  <si>
    <t>1600171680</t>
  </si>
  <si>
    <t>16001S1290</t>
  </si>
  <si>
    <t>16001S1300</t>
  </si>
  <si>
    <t>16001S1680</t>
  </si>
  <si>
    <t xml:space="preserve">  Непрограммные расходы органов местного самоуправления</t>
  </si>
  <si>
    <t xml:space="preserve">    Непрограммные расходы</t>
  </si>
  <si>
    <t xml:space="preserve">        Проведение выборов и референдумов</t>
  </si>
  <si>
    <t xml:space="preserve">        Расходы на выплаты по оплате труда депутатам Совета народных депутатов</t>
  </si>
  <si>
    <t xml:space="preserve">        Расходы на выплаты по оплате труда председателю Совета народных депутатов</t>
  </si>
  <si>
    <t>9900000000</t>
  </si>
  <si>
    <t>9990000000</t>
  </si>
  <si>
    <t>9990000100</t>
  </si>
  <si>
    <t>9990010590</t>
  </si>
  <si>
    <t>99900Д0100</t>
  </si>
  <si>
    <t>99900П0100</t>
  </si>
  <si>
    <t>Всего расходов:</t>
  </si>
  <si>
    <t xml:space="preserve">      Основное мероприятие "Федеральный проект  "Успех каждого ребенка" национального проекта "Образование"</t>
  </si>
  <si>
    <t>061E250970</t>
  </si>
  <si>
    <t>061E200000</t>
  </si>
  <si>
    <t>061Е100000</t>
  </si>
  <si>
    <t>061Е151690</t>
  </si>
  <si>
    <t xml:space="preserve">            Основное мероприятие "Федеральный проект "Современная школа" национального проекта "Образование"</t>
  </si>
  <si>
    <t xml:space="preserve">               Обновление материально-технической базы для формирования у обучающихся современных технологических и гуманитарных навыков</t>
  </si>
  <si>
    <t>1600171780</t>
  </si>
  <si>
    <t xml:space="preserve">             Реализация мероприятий по обеспечению антитеррористической защищенности, пожарной безопасности общеобразовательных организаций и на обновление их материально-технической базы</t>
  </si>
  <si>
    <t>16001S1780</t>
  </si>
  <si>
    <t xml:space="preserve">        Государственная поддержка отрасли культуры на приобретение музыкальных инструментов, оборудования и материалов для детских школ искусств по видам искусств</t>
  </si>
  <si>
    <t>090А155192</t>
  </si>
  <si>
    <t xml:space="preserve">          Основное мероприятие "Федеральный проект "Культурная среда" национального проекта "Культура"</t>
  </si>
  <si>
    <t>090А100000</t>
  </si>
  <si>
    <t xml:space="preserve">            Иные бюджетные ассигнования</t>
  </si>
  <si>
    <t>01201S1580</t>
  </si>
  <si>
    <t xml:space="preserve">        Строительство, реконструкция и модернизация систем (объектов) теплоснабжения, водоснабжения, водоотведения и очистки сточных вод</t>
  </si>
  <si>
    <t xml:space="preserve">  Подпрограмма "Энергосбережение и повышение энергетической эффективности в округе Муром на 2019-2021 годы"</t>
  </si>
  <si>
    <t xml:space="preserve">    Основное мероприятие "Энергосбережение и повышение энергетической эффективности в округе Муром"</t>
  </si>
  <si>
    <t xml:space="preserve">        Замена устаревших светильников на новые энергоэффективные, монтаж самонесущих изолированных проводов</t>
  </si>
  <si>
    <t>0160100000</t>
  </si>
  <si>
    <t>01601S0130</t>
  </si>
  <si>
    <t>0300271790</t>
  </si>
  <si>
    <t xml:space="preserve">             Приведение муниципальных учреждений спортивной полготовки в нормативное состояние</t>
  </si>
  <si>
    <t>030Р552290</t>
  </si>
  <si>
    <t xml:space="preserve">            Основное мероприятие "Федеральный проект "Спорт - норма жизни" национального проекта "Демография"</t>
  </si>
  <si>
    <t xml:space="preserve">              Приобретение спортивного оборудования и инвентаря для приведения организаций спортивной подготовки в нормативное состояние</t>
  </si>
  <si>
    <t>030Р500000</t>
  </si>
  <si>
    <t>03002S1790</t>
  </si>
  <si>
    <t>0140172460</t>
  </si>
  <si>
    <t>1020310040</t>
  </si>
  <si>
    <t xml:space="preserve">        Исполнение судебных актов</t>
  </si>
  <si>
    <t>01401S2460</t>
  </si>
  <si>
    <t>0120171580</t>
  </si>
  <si>
    <t>0300410280</t>
  </si>
  <si>
    <t xml:space="preserve">        Укрепление материально-технической базы подведомственных учреждений</t>
  </si>
  <si>
    <t xml:space="preserve">             Приведение муниципальных учреждений спортивной подготовки в нормативное состояние</t>
  </si>
  <si>
    <t>14101ГЧ590</t>
  </si>
  <si>
    <t>062017065С</t>
  </si>
  <si>
    <t xml:space="preserve">            Основное мероприятие "Федеральный проект "Формирование комфортной городской среды" национального проекта "Жилье и городская среда"</t>
  </si>
  <si>
    <t xml:space="preserve">              Реализация программ формирования современной городской среды</t>
  </si>
  <si>
    <t xml:space="preserve">                Закупка товаров, работ и услуг для обеспечения государственных (муниципальных) нужд</t>
  </si>
  <si>
    <t xml:space="preserve">                Предоставление субсидий бюджетным, автономным учреждениям и иным некоммерческим организациям
</t>
  </si>
  <si>
    <t>1500000000</t>
  </si>
  <si>
    <t>1510000000</t>
  </si>
  <si>
    <t>151F200000</t>
  </si>
  <si>
    <t>151F255550</t>
  </si>
  <si>
    <t xml:space="preserve">            Основное мероприятие "Благоустройство дворовых территорий многоквартирных домов"</t>
  </si>
  <si>
    <t>1510100000</t>
  </si>
  <si>
    <t>15101С555Н</t>
  </si>
  <si>
    <t xml:space="preserve">              Благоустройство дворовых территорий многоквартирных домов (за счет безвозмездных поступлений от собственников помещений в многоквартирных домах)</t>
  </si>
  <si>
    <t xml:space="preserve">          Подпрограмма "Обеспечение доступности услуг общественного транспорта в округе Муром на 2019-2021 годы"</t>
  </si>
  <si>
    <t xml:space="preserve">            Основное мероприятие "Обеспечение доступности общественного транспорта для различных категорий граждан на территории округа"</t>
  </si>
  <si>
    <t xml:space="preserve">              Возмещение потерь в доходах организаций железнодорожного транспорта от реализации билетов, связанных с сезонным снижением тарифов</t>
  </si>
  <si>
    <t xml:space="preserve">                Иные бюджетные ассигнования</t>
  </si>
  <si>
    <t>0170000000</t>
  </si>
  <si>
    <t>0170100000</t>
  </si>
  <si>
    <t>0170160010</t>
  </si>
  <si>
    <t xml:space="preserve">              Обеспечение равной доступности услуг общественного транспорта на территории округа Муром для отдельных категорий граждан</t>
  </si>
  <si>
    <t xml:space="preserve">                Социальное обеспечение и иные выплаты населению</t>
  </si>
  <si>
    <t>0170120040</t>
  </si>
  <si>
    <t xml:space="preserve">              Организация проезда обучающихся в общеобразовательных учреждениях, учреждениях начального, среднего и высшего профессионального образования, расположенных на территории округа Муром, транспортом общего пользования</t>
  </si>
  <si>
    <t>0170120050</t>
  </si>
  <si>
    <t xml:space="preserve">              Обеспечение равной доступности услуг общественного транспорта для отдельных категорий граждан в муниципальном сообщении</t>
  </si>
  <si>
    <t xml:space="preserve">              Мероприятия по обеспечению равной доступности услуг общественного транспорта для отдельных категорий граждан в муниципальном сообщении</t>
  </si>
  <si>
    <t>0170170150</t>
  </si>
  <si>
    <t>01701S0150</t>
  </si>
  <si>
    <t>0800310040</t>
  </si>
  <si>
    <t xml:space="preserve">         Исполнение судебных актов</t>
  </si>
  <si>
    <t xml:space="preserve">              Строительство и реконструкция спортивных сооружений подведомственных учреждений</t>
  </si>
  <si>
    <t>0300440030</t>
  </si>
  <si>
    <t xml:space="preserve">            Основное мероприятие «Создание условий для успешной социализации и эффективной самореализации молодежи»</t>
  </si>
  <si>
    <t xml:space="preserve">              Организация и проведение мероприятий по антинаркотической пропаганде</t>
  </si>
  <si>
    <t>0400100000</t>
  </si>
  <si>
    <t>0400110120</t>
  </si>
  <si>
    <t xml:space="preserve">              Организация и осуществление мероприятий по работе с детьми и молодежью</t>
  </si>
  <si>
    <t xml:space="preserve">              Персональные стипендии администрации округа им.А.В. Ермакова для одаренных и талантливых детей и молодежи в области образования и науки, культуры, спорта, журналистики, детского и молодежного общественного движения</t>
  </si>
  <si>
    <t>0400110240</t>
  </si>
  <si>
    <t>0400120150</t>
  </si>
  <si>
    <t xml:space="preserve">            Основное мероприятие «Создание условий для реализации муниципальной программы»</t>
  </si>
  <si>
    <t xml:space="preserve">              Расходы на обеспечение деятельности органов местного самоуправления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</si>
  <si>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
внебюджетными фондами
</t>
  </si>
  <si>
    <t>0400200000</t>
  </si>
  <si>
    <t>0400200100</t>
  </si>
  <si>
    <t>9</t>
  </si>
  <si>
    <t xml:space="preserve">              Расходы на обеспечение деятельности централизованных бухгалтерий</t>
  </si>
  <si>
    <t>04002ЦБ590</t>
  </si>
  <si>
    <t xml:space="preserve">          Подпрограмма "Переселение граждан из аварийного жилищного фонда"</t>
  </si>
  <si>
    <t xml:space="preserve">            Основное мероприятие "Приобретение жилых помещений у лиц, не являющихся застройщиками домов, в которых расположены эти жилые помещения, для предоставления их гражданам, переселяемым из аварийного жилищного фонда"</t>
  </si>
  <si>
    <t xml:space="preserve">              Обеспечение устойчивого сокращения непригодного для проживания жилищного фонда</t>
  </si>
  <si>
    <t xml:space="preserve">                Капитальные вложения в объекты государственной (муниципальной) собственности</t>
  </si>
  <si>
    <t>0760000000</t>
  </si>
  <si>
    <t xml:space="preserve">          Подпрограмма "Обеспечение проживающих в аварийном жилищном фонде граждан жилыми помещениями"</t>
  </si>
  <si>
    <t>0770000000</t>
  </si>
  <si>
    <t>0770100000</t>
  </si>
  <si>
    <t>0770109702</t>
  </si>
  <si>
    <t xml:space="preserve">            Основное мероприятие "Выплата возмещения собственникам жилых помещений, входящих в аварийный жилищный фонд, за изымаемые жилые помещения в соответствии со статьей 32 Жилищного кодекса РФ"</t>
  </si>
  <si>
    <t>0770200000</t>
  </si>
  <si>
    <t>0770209702</t>
  </si>
  <si>
    <t xml:space="preserve">            Основное мероприятие "Федеральный проект "Обеспечение устойчивого сокращения непригодного для проживания жилищного фонда" национального проекта "Жилье и городская среда"</t>
  </si>
  <si>
    <t xml:space="preserve">              Обеспечение устойчивого сокращения непригодного для проживания жилищного фонда за счет средств государственной корпорации - Фонда содействия реформированию ЖКХ</t>
  </si>
  <si>
    <t xml:space="preserve">              Обеспечение проживающих в аварийном жилищном фонде граждан жилыми помещениями</t>
  </si>
  <si>
    <t>076F300000</t>
  </si>
  <si>
    <t>076F309502</t>
  </si>
  <si>
    <t>076F309602</t>
  </si>
  <si>
    <t>07701S9702</t>
  </si>
  <si>
    <t>07702S9702</t>
  </si>
  <si>
    <t>0610171810</t>
  </si>
  <si>
    <t xml:space="preserve">            Реализация мероприятий по укреплению материально-технической базы муниципальных образовательных организаций</t>
  </si>
  <si>
    <t>0610271810</t>
  </si>
  <si>
    <t>0900371330</t>
  </si>
  <si>
    <t xml:space="preserve">    Выделение грантов на реализацию творческих проектов на селе в сфере культуры</t>
  </si>
  <si>
    <t xml:space="preserve">        Муниципальная программа "Благоустройство территории округа Муром"</t>
  </si>
  <si>
    <t xml:space="preserve">          Подпрограмма "Формирование современной городской среды на территории округа Муром в 2018-2024 годах"</t>
  </si>
  <si>
    <t xml:space="preserve">        Реализация мероприятий по укреплению материально-технической базы муниципальных образовательных организаций</t>
  </si>
  <si>
    <t>06101S1810</t>
  </si>
  <si>
    <t>0610271360</t>
  </si>
  <si>
    <t>06102S1360</t>
  </si>
  <si>
    <t>06102S1810</t>
  </si>
  <si>
    <t>от 08.07.2019 № 676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</si>
</sst>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" fontId="3" fillId="0" borderId="2">
      <alignment horizontal="right" vertical="top" shrinkToFit="1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37">
    <xf numFmtId="0" fontId="0" fillId="0" borderId="0" xfId="0"/>
    <xf numFmtId="0" fontId="5" fillId="0" borderId="0" xfId="0" applyFont="1" applyFill="1" applyProtection="1">
      <protection locked="0"/>
    </xf>
    <xf numFmtId="0" fontId="6" fillId="0" borderId="0" xfId="0" applyFont="1" applyFill="1" applyProtection="1">
      <protection locked="0"/>
    </xf>
    <xf numFmtId="0" fontId="7" fillId="0" borderId="0" xfId="0" applyFont="1" applyFill="1" applyProtection="1">
      <protection locked="0"/>
    </xf>
    <xf numFmtId="0" fontId="5" fillId="0" borderId="6" xfId="0" applyFont="1" applyFill="1" applyBorder="1" applyProtection="1">
      <protection locked="0"/>
    </xf>
    <xf numFmtId="0" fontId="6" fillId="0" borderId="6" xfId="0" applyFont="1" applyFill="1" applyBorder="1" applyProtection="1">
      <protection locked="0"/>
    </xf>
    <xf numFmtId="0" fontId="5" fillId="0" borderId="2" xfId="3" applyNumberFormat="1" applyFont="1" applyFill="1" applyProtection="1">
      <alignment horizontal="center" vertical="center" wrapText="1"/>
    </xf>
    <xf numFmtId="0" fontId="6" fillId="0" borderId="2" xfId="4" applyNumberFormat="1" applyFont="1" applyFill="1" applyProtection="1">
      <alignment vertical="top" wrapText="1"/>
    </xf>
    <xf numFmtId="49" fontId="6" fillId="0" borderId="2" xfId="5" applyFont="1" applyFill="1" applyProtection="1">
      <alignment horizontal="center" vertical="top" shrinkToFit="1"/>
    </xf>
    <xf numFmtId="0" fontId="7" fillId="0" borderId="2" xfId="4" applyNumberFormat="1" applyFont="1" applyFill="1" applyProtection="1">
      <alignment vertical="top" wrapText="1"/>
    </xf>
    <xf numFmtId="49" fontId="7" fillId="0" borderId="2" xfId="5" applyFont="1" applyFill="1" applyProtection="1">
      <alignment horizontal="center" vertical="top" shrinkToFit="1"/>
    </xf>
    <xf numFmtId="0" fontId="5" fillId="0" borderId="2" xfId="4" applyNumberFormat="1" applyFont="1" applyFill="1" applyProtection="1">
      <alignment vertical="top" wrapText="1"/>
    </xf>
    <xf numFmtId="49" fontId="5" fillId="0" borderId="2" xfId="5" applyFont="1" applyFill="1" applyProtection="1">
      <alignment horizontal="center" vertical="top" shrinkToFit="1"/>
    </xf>
    <xf numFmtId="0" fontId="8" fillId="0" borderId="2" xfId="3" applyNumberFormat="1" applyFont="1" applyFill="1" applyProtection="1">
      <alignment horizontal="center" vertical="center" wrapText="1"/>
    </xf>
    <xf numFmtId="0" fontId="5" fillId="0" borderId="7" xfId="4" applyNumberFormat="1" applyFont="1" applyFill="1" applyBorder="1" applyProtection="1">
      <alignment vertical="top" wrapText="1"/>
    </xf>
    <xf numFmtId="49" fontId="5" fillId="0" borderId="7" xfId="5" applyFont="1" applyFill="1" applyBorder="1" applyProtection="1">
      <alignment horizontal="center" vertical="top" shrinkToFit="1"/>
    </xf>
    <xf numFmtId="0" fontId="9" fillId="0" borderId="2" xfId="4" applyNumberFormat="1" applyFont="1" applyFill="1" applyProtection="1">
      <alignment vertical="top" wrapText="1"/>
    </xf>
    <xf numFmtId="0" fontId="10" fillId="0" borderId="2" xfId="4" applyNumberFormat="1" applyFont="1" applyFill="1" applyProtection="1">
      <alignment vertical="top" wrapText="1"/>
    </xf>
    <xf numFmtId="49" fontId="10" fillId="0" borderId="2" xfId="5" applyFont="1" applyFill="1" applyProtection="1">
      <alignment horizontal="center" vertical="top" shrinkToFit="1"/>
    </xf>
    <xf numFmtId="49" fontId="9" fillId="0" borderId="2" xfId="5" applyFont="1" applyFill="1" applyProtection="1">
      <alignment horizontal="center" vertical="top" shrinkToFit="1"/>
    </xf>
    <xf numFmtId="0" fontId="11" fillId="0" borderId="2" xfId="4" applyNumberFormat="1" applyFont="1" applyFill="1" applyProtection="1">
      <alignment vertical="top" wrapText="1"/>
    </xf>
    <xf numFmtId="49" fontId="11" fillId="0" borderId="2" xfId="5" applyFont="1" applyFill="1" applyProtection="1">
      <alignment horizontal="center" vertical="top" shrinkToFit="1"/>
    </xf>
    <xf numFmtId="0" fontId="9" fillId="0" borderId="8" xfId="20" applyNumberFormat="1" applyFont="1" applyFill="1" applyBorder="1" applyAlignment="1" applyProtection="1">
      <alignment horizontal="left" vertical="top" wrapText="1"/>
    </xf>
    <xf numFmtId="0" fontId="5" fillId="0" borderId="6" xfId="0" applyFont="1" applyFill="1" applyBorder="1" applyAlignment="1">
      <alignment wrapText="1"/>
    </xf>
    <xf numFmtId="164" fontId="6" fillId="0" borderId="2" xfId="6" applyNumberFormat="1" applyFont="1" applyFill="1" applyProtection="1">
      <alignment horizontal="right" vertical="top" shrinkToFit="1"/>
    </xf>
    <xf numFmtId="164" fontId="7" fillId="0" borderId="2" xfId="6" applyNumberFormat="1" applyFont="1" applyFill="1" applyProtection="1">
      <alignment horizontal="right" vertical="top" shrinkToFit="1"/>
    </xf>
    <xf numFmtId="164" fontId="5" fillId="0" borderId="2" xfId="6" applyNumberFormat="1" applyFont="1" applyFill="1" applyProtection="1">
      <alignment horizontal="right" vertical="top" shrinkToFit="1"/>
    </xf>
    <xf numFmtId="164" fontId="5" fillId="0" borderId="7" xfId="6" applyNumberFormat="1" applyFont="1" applyFill="1" applyBorder="1" applyProtection="1">
      <alignment horizontal="right" vertical="top" shrinkToFit="1"/>
    </xf>
    <xf numFmtId="164" fontId="6" fillId="0" borderId="6" xfId="0" applyNumberFormat="1" applyFont="1" applyFill="1" applyBorder="1" applyProtection="1">
      <protection locked="0"/>
    </xf>
    <xf numFmtId="0" fontId="5" fillId="0" borderId="1" xfId="2" applyNumberFormat="1" applyFont="1" applyFill="1" applyProtection="1">
      <alignment horizontal="right"/>
    </xf>
    <xf numFmtId="0" fontId="5" fillId="0" borderId="1" xfId="2" applyFont="1" applyFill="1" applyProtection="1">
      <alignment horizontal="right"/>
      <protection locked="0"/>
    </xf>
    <xf numFmtId="0" fontId="8" fillId="0" borderId="1" xfId="0" applyNumberFormat="1" applyFont="1" applyFill="1" applyBorder="1" applyAlignment="1" applyProtection="1">
      <alignment horizontal="right"/>
    </xf>
    <xf numFmtId="0" fontId="8" fillId="0" borderId="1" xfId="0" applyNumberFormat="1" applyFont="1" applyFill="1" applyBorder="1" applyAlignment="1" applyProtection="1">
      <alignment horizontal="right" vertical="top"/>
    </xf>
    <xf numFmtId="0" fontId="6" fillId="0" borderId="1" xfId="1" applyNumberFormat="1" applyFont="1" applyFill="1" applyAlignment="1" applyProtection="1">
      <alignment horizontal="center" wrapText="1"/>
    </xf>
    <xf numFmtId="0" fontId="6" fillId="0" borderId="1" xfId="1" applyFont="1" applyFill="1" applyAlignment="1" applyProtection="1">
      <alignment horizontal="center" wrapText="1"/>
      <protection locked="0"/>
    </xf>
    <xf numFmtId="0" fontId="5" fillId="0" borderId="1" xfId="1" applyNumberFormat="1" applyFont="1" applyFill="1" applyProtection="1">
      <alignment horizontal="center"/>
    </xf>
    <xf numFmtId="0" fontId="5" fillId="0" borderId="1" xfId="1" applyFont="1" applyFill="1" applyProtection="1">
      <alignment horizontal="center"/>
      <protection locked="0"/>
    </xf>
  </cellXfs>
  <cellStyles count="29">
    <cellStyle name="br" xfId="15"/>
    <cellStyle name="col" xfId="14"/>
    <cellStyle name="style0" xfId="16"/>
    <cellStyle name="td" xfId="17"/>
    <cellStyle name="tr" xfId="13"/>
    <cellStyle name="xl21" xfId="18"/>
    <cellStyle name="xl22" xfId="1"/>
    <cellStyle name="xl23" xfId="2"/>
    <cellStyle name="xl24" xfId="19"/>
    <cellStyle name="xl25" xfId="3"/>
    <cellStyle name="xl26" xfId="20"/>
    <cellStyle name="xl27" xfId="21"/>
    <cellStyle name="xl28" xfId="8"/>
    <cellStyle name="xl29" xfId="9"/>
    <cellStyle name="xl30" xfId="10"/>
    <cellStyle name="xl31" xfId="11"/>
    <cellStyle name="xl32" xfId="12"/>
    <cellStyle name="xl33" xfId="4"/>
    <cellStyle name="xl34" xfId="5"/>
    <cellStyle name="xl35" xfId="6"/>
    <cellStyle name="xl36" xfId="7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89"/>
  <sheetViews>
    <sheetView showGridLines="0" tabSelected="1" workbookViewId="0">
      <pane ySplit="8" topLeftCell="A687" activePane="bottomLeft" state="frozen"/>
      <selection pane="bottomLeft" activeCell="A4" sqref="A4"/>
    </sheetView>
  </sheetViews>
  <sheetFormatPr defaultColWidth="8.85546875" defaultRowHeight="15.75" outlineLevelRow="6"/>
  <cols>
    <col min="1" max="1" width="43.7109375" style="1" customWidth="1"/>
    <col min="2" max="2" width="12.28515625" style="1" customWidth="1"/>
    <col min="3" max="3" width="9" style="1" customWidth="1"/>
    <col min="4" max="5" width="8.85546875" style="1"/>
    <col min="6" max="8" width="14.7109375" style="1" customWidth="1"/>
    <col min="9" max="16384" width="8.85546875" style="1"/>
  </cols>
  <sheetData>
    <row r="1" spans="1:8">
      <c r="A1" s="31" t="s">
        <v>1</v>
      </c>
      <c r="B1" s="31"/>
      <c r="C1" s="31"/>
      <c r="D1" s="31"/>
      <c r="E1" s="31"/>
      <c r="F1" s="31"/>
      <c r="G1" s="31"/>
      <c r="H1" s="31"/>
    </row>
    <row r="2" spans="1:8">
      <c r="A2" s="31" t="s">
        <v>0</v>
      </c>
      <c r="B2" s="31"/>
      <c r="C2" s="31"/>
      <c r="D2" s="31"/>
      <c r="E2" s="31"/>
      <c r="F2" s="31"/>
      <c r="G2" s="31"/>
      <c r="H2" s="31"/>
    </row>
    <row r="3" spans="1:8">
      <c r="A3" s="32" t="s">
        <v>655</v>
      </c>
      <c r="B3" s="32"/>
      <c r="C3" s="32"/>
      <c r="D3" s="32"/>
      <c r="E3" s="32"/>
      <c r="F3" s="32"/>
      <c r="G3" s="32"/>
      <c r="H3" s="32"/>
    </row>
    <row r="5" spans="1:8" ht="50.45" customHeight="1">
      <c r="A5" s="33" t="s">
        <v>9</v>
      </c>
      <c r="B5" s="34"/>
      <c r="C5" s="34"/>
      <c r="D5" s="34"/>
      <c r="E5" s="34"/>
      <c r="F5" s="34"/>
      <c r="G5" s="34"/>
      <c r="H5" s="34"/>
    </row>
    <row r="6" spans="1:8">
      <c r="A6" s="35"/>
      <c r="B6" s="36"/>
      <c r="C6" s="36"/>
      <c r="D6" s="36"/>
      <c r="E6" s="36"/>
      <c r="F6" s="36"/>
      <c r="G6" s="36"/>
      <c r="H6" s="36"/>
    </row>
    <row r="7" spans="1:8">
      <c r="A7" s="29"/>
      <c r="B7" s="30"/>
      <c r="C7" s="30"/>
      <c r="D7" s="30"/>
      <c r="E7" s="30"/>
      <c r="F7" s="30"/>
      <c r="G7" s="30"/>
      <c r="H7" s="30"/>
    </row>
    <row r="8" spans="1:8" ht="25.5">
      <c r="A8" s="13" t="s">
        <v>2</v>
      </c>
      <c r="B8" s="13" t="s">
        <v>3</v>
      </c>
      <c r="C8" s="13" t="s">
        <v>4</v>
      </c>
      <c r="D8" s="13" t="s">
        <v>5</v>
      </c>
      <c r="E8" s="13" t="s">
        <v>6</v>
      </c>
      <c r="F8" s="6" t="s">
        <v>7</v>
      </c>
      <c r="G8" s="6" t="s">
        <v>8</v>
      </c>
      <c r="H8" s="6" t="s">
        <v>10</v>
      </c>
    </row>
    <row r="9" spans="1:8" s="2" customFormat="1" ht="63">
      <c r="A9" s="7" t="s">
        <v>11</v>
      </c>
      <c r="B9" s="8" t="s">
        <v>55</v>
      </c>
      <c r="C9" s="8"/>
      <c r="D9" s="8"/>
      <c r="E9" s="8"/>
      <c r="F9" s="24">
        <f>F10+F73+F88+F94+F135+F146+F150</f>
        <v>267903.96834000002</v>
      </c>
      <c r="G9" s="24">
        <f>G10+G73+G88+G94+G135+G146+G150</f>
        <v>237308.5</v>
      </c>
      <c r="H9" s="24">
        <f>H10+H73+H88+H94+H135+H146+H150</f>
        <v>221885.09999999998</v>
      </c>
    </row>
    <row r="10" spans="1:8" s="3" customFormat="1" ht="47.25" outlineLevel="1">
      <c r="A10" s="9" t="s">
        <v>12</v>
      </c>
      <c r="B10" s="10" t="s">
        <v>56</v>
      </c>
      <c r="C10" s="10"/>
      <c r="D10" s="10"/>
      <c r="E10" s="10"/>
      <c r="F10" s="25">
        <f>F11+F36+F58+F68</f>
        <v>91291.578229999999</v>
      </c>
      <c r="G10" s="25">
        <f t="shared" ref="G10:H10" si="0">G11+G36+G58+G68</f>
        <v>98396.099999999991</v>
      </c>
      <c r="H10" s="25">
        <f t="shared" si="0"/>
        <v>98396.099999999991</v>
      </c>
    </row>
    <row r="11" spans="1:8" ht="47.25" outlineLevel="2">
      <c r="A11" s="11" t="s">
        <v>13</v>
      </c>
      <c r="B11" s="12" t="s">
        <v>57</v>
      </c>
      <c r="C11" s="12"/>
      <c r="D11" s="12"/>
      <c r="E11" s="12"/>
      <c r="F11" s="26">
        <f>F12+F19+F29</f>
        <v>18575</v>
      </c>
      <c r="G11" s="26">
        <f t="shared" ref="G11:H11" si="1">G12+G19+G29</f>
        <v>19117.5</v>
      </c>
      <c r="H11" s="26">
        <f t="shared" si="1"/>
        <v>19117.5</v>
      </c>
    </row>
    <row r="12" spans="1:8" ht="32.25" customHeight="1" outlineLevel="3">
      <c r="A12" s="11" t="s">
        <v>14</v>
      </c>
      <c r="B12" s="12" t="s">
        <v>58</v>
      </c>
      <c r="C12" s="12"/>
      <c r="D12" s="12"/>
      <c r="E12" s="12"/>
      <c r="F12" s="26">
        <f>F13+F16</f>
        <v>6965.4</v>
      </c>
      <c r="G12" s="26">
        <f t="shared" ref="G12:H12" si="2">G13+G16</f>
        <v>6965.4</v>
      </c>
      <c r="H12" s="26">
        <f t="shared" si="2"/>
        <v>6965.4</v>
      </c>
    </row>
    <row r="13" spans="1:8" ht="94.5" customHeight="1" outlineLevel="4">
      <c r="A13" s="11" t="s">
        <v>15</v>
      </c>
      <c r="B13" s="12" t="s">
        <v>58</v>
      </c>
      <c r="C13" s="12" t="s">
        <v>93</v>
      </c>
      <c r="D13" s="12" t="s">
        <v>99</v>
      </c>
      <c r="E13" s="12" t="s">
        <v>99</v>
      </c>
      <c r="F13" s="26">
        <f>7824.7-1215.7</f>
        <v>6609</v>
      </c>
      <c r="G13" s="26">
        <f>7824.7-1215.7</f>
        <v>6609</v>
      </c>
      <c r="H13" s="26">
        <f>7824.7-1215.7</f>
        <v>6609</v>
      </c>
    </row>
    <row r="14" spans="1:8" s="3" customFormat="1" hidden="1" outlineLevel="1">
      <c r="A14" s="11"/>
      <c r="B14" s="12"/>
      <c r="C14" s="12"/>
      <c r="D14" s="12"/>
      <c r="E14" s="12"/>
      <c r="F14" s="26"/>
      <c r="G14" s="26"/>
      <c r="H14" s="26"/>
    </row>
    <row r="15" spans="1:8" hidden="1" outlineLevel="2">
      <c r="A15" s="11"/>
      <c r="B15" s="12"/>
      <c r="C15" s="12"/>
      <c r="D15" s="12"/>
      <c r="E15" s="12"/>
      <c r="F15" s="26"/>
      <c r="G15" s="26"/>
      <c r="H15" s="26"/>
    </row>
    <row r="16" spans="1:8" ht="47.25" outlineLevel="3">
      <c r="A16" s="11" t="s">
        <v>16</v>
      </c>
      <c r="B16" s="12" t="s">
        <v>58</v>
      </c>
      <c r="C16" s="12" t="s">
        <v>94</v>
      </c>
      <c r="D16" s="12" t="s">
        <v>99</v>
      </c>
      <c r="E16" s="12" t="s">
        <v>99</v>
      </c>
      <c r="F16" s="26">
        <v>356.4</v>
      </c>
      <c r="G16" s="26">
        <v>356.4</v>
      </c>
      <c r="H16" s="26">
        <v>356.4</v>
      </c>
    </row>
    <row r="17" spans="1:8" hidden="1" outlineLevel="4">
      <c r="A17" s="11"/>
      <c r="B17" s="12"/>
      <c r="C17" s="12"/>
      <c r="D17" s="12"/>
      <c r="E17" s="12"/>
      <c r="F17" s="26"/>
      <c r="G17" s="26"/>
      <c r="H17" s="26"/>
    </row>
    <row r="18" spans="1:8" s="3" customFormat="1" hidden="1" outlineLevel="1">
      <c r="A18" s="11"/>
      <c r="B18" s="12"/>
      <c r="C18" s="12"/>
      <c r="D18" s="12"/>
      <c r="E18" s="12"/>
      <c r="F18" s="26"/>
      <c r="G18" s="26"/>
      <c r="H18" s="26"/>
    </row>
    <row r="19" spans="1:8" ht="47.25" outlineLevel="2">
      <c r="A19" s="11" t="s">
        <v>17</v>
      </c>
      <c r="B19" s="12" t="s">
        <v>59</v>
      </c>
      <c r="C19" s="12"/>
      <c r="D19" s="12"/>
      <c r="E19" s="12"/>
      <c r="F19" s="26">
        <f>F20+F23+F26</f>
        <v>8110.5</v>
      </c>
      <c r="G19" s="26">
        <f t="shared" ref="G19:H19" si="3">G20+G23+G26</f>
        <v>8653</v>
      </c>
      <c r="H19" s="26">
        <f t="shared" si="3"/>
        <v>8653</v>
      </c>
    </row>
    <row r="20" spans="1:8" ht="95.25" customHeight="1" outlineLevel="3">
      <c r="A20" s="11" t="s">
        <v>15</v>
      </c>
      <c r="B20" s="12" t="s">
        <v>59</v>
      </c>
      <c r="C20" s="12" t="s">
        <v>93</v>
      </c>
      <c r="D20" s="12" t="s">
        <v>99</v>
      </c>
      <c r="E20" s="12" t="s">
        <v>99</v>
      </c>
      <c r="F20" s="26">
        <f>7092.4-902.5</f>
        <v>6189.9</v>
      </c>
      <c r="G20" s="26">
        <v>7092.4</v>
      </c>
      <c r="H20" s="26">
        <v>7092.4</v>
      </c>
    </row>
    <row r="21" spans="1:8" hidden="1" outlineLevel="4">
      <c r="A21" s="11"/>
      <c r="B21" s="12"/>
      <c r="C21" s="12"/>
      <c r="D21" s="12"/>
      <c r="E21" s="12"/>
      <c r="F21" s="26"/>
      <c r="G21" s="26"/>
      <c r="H21" s="26"/>
    </row>
    <row r="22" spans="1:8" hidden="1" outlineLevel="3">
      <c r="A22" s="11"/>
      <c r="B22" s="12"/>
      <c r="C22" s="12"/>
      <c r="D22" s="12"/>
      <c r="E22" s="12"/>
      <c r="F22" s="26"/>
      <c r="G22" s="26"/>
      <c r="H22" s="26"/>
    </row>
    <row r="23" spans="1:8" ht="47.25" outlineLevel="4">
      <c r="A23" s="11" t="s">
        <v>16</v>
      </c>
      <c r="B23" s="12" t="s">
        <v>59</v>
      </c>
      <c r="C23" s="12" t="s">
        <v>94</v>
      </c>
      <c r="D23" s="12" t="s">
        <v>99</v>
      </c>
      <c r="E23" s="12" t="s">
        <v>99</v>
      </c>
      <c r="F23" s="26">
        <v>1826.5</v>
      </c>
      <c r="G23" s="26">
        <v>1466.5</v>
      </c>
      <c r="H23" s="26">
        <v>1466.5</v>
      </c>
    </row>
    <row r="24" spans="1:8" s="3" customFormat="1" hidden="1" outlineLevel="1">
      <c r="A24" s="11"/>
      <c r="B24" s="12"/>
      <c r="C24" s="12"/>
      <c r="D24" s="12"/>
      <c r="E24" s="12"/>
      <c r="F24" s="26"/>
      <c r="G24" s="26"/>
      <c r="H24" s="26"/>
    </row>
    <row r="25" spans="1:8" hidden="1" outlineLevel="2">
      <c r="A25" s="11"/>
      <c r="B25" s="12"/>
      <c r="C25" s="12"/>
      <c r="D25" s="12"/>
      <c r="E25" s="12"/>
      <c r="F25" s="26"/>
      <c r="G25" s="26"/>
      <c r="H25" s="26"/>
    </row>
    <row r="26" spans="1:8" outlineLevel="3">
      <c r="A26" s="11" t="s">
        <v>18</v>
      </c>
      <c r="B26" s="12" t="s">
        <v>59</v>
      </c>
      <c r="C26" s="12" t="s">
        <v>95</v>
      </c>
      <c r="D26" s="12" t="s">
        <v>99</v>
      </c>
      <c r="E26" s="12" t="s">
        <v>99</v>
      </c>
      <c r="F26" s="26">
        <v>94.1</v>
      </c>
      <c r="G26" s="26">
        <v>94.1</v>
      </c>
      <c r="H26" s="26">
        <v>94.1</v>
      </c>
    </row>
    <row r="27" spans="1:8" hidden="1" outlineLevel="4">
      <c r="A27" s="11"/>
      <c r="B27" s="12"/>
      <c r="C27" s="12"/>
      <c r="D27" s="12"/>
      <c r="E27" s="12"/>
      <c r="F27" s="26"/>
      <c r="G27" s="26"/>
      <c r="H27" s="26"/>
    </row>
    <row r="28" spans="1:8" hidden="1" outlineLevel="3">
      <c r="A28" s="11"/>
      <c r="B28" s="12"/>
      <c r="C28" s="12"/>
      <c r="D28" s="12"/>
      <c r="E28" s="12"/>
      <c r="F28" s="26"/>
      <c r="G28" s="26"/>
      <c r="H28" s="26"/>
    </row>
    <row r="29" spans="1:8" ht="31.5" customHeight="1" outlineLevel="4">
      <c r="A29" s="11" t="s">
        <v>19</v>
      </c>
      <c r="B29" s="12" t="s">
        <v>60</v>
      </c>
      <c r="C29" s="12"/>
      <c r="D29" s="12"/>
      <c r="E29" s="12"/>
      <c r="F29" s="26">
        <f>F30+F33</f>
        <v>3499.1</v>
      </c>
      <c r="G29" s="26">
        <f t="shared" ref="G29:H29" si="4">G30+G33</f>
        <v>3499.1</v>
      </c>
      <c r="H29" s="26">
        <f t="shared" si="4"/>
        <v>3499.1</v>
      </c>
    </row>
    <row r="30" spans="1:8" ht="93.75" customHeight="1" outlineLevel="3">
      <c r="A30" s="11" t="s">
        <v>15</v>
      </c>
      <c r="B30" s="12" t="s">
        <v>60</v>
      </c>
      <c r="C30" s="12" t="s">
        <v>93</v>
      </c>
      <c r="D30" s="12" t="s">
        <v>99</v>
      </c>
      <c r="E30" s="12" t="s">
        <v>99</v>
      </c>
      <c r="F30" s="26">
        <v>3091.6</v>
      </c>
      <c r="G30" s="26">
        <v>3091.6</v>
      </c>
      <c r="H30" s="26">
        <v>3091.6</v>
      </c>
    </row>
    <row r="31" spans="1:8" hidden="1" outlineLevel="4">
      <c r="A31" s="11"/>
      <c r="B31" s="12"/>
      <c r="C31" s="12"/>
      <c r="D31" s="12"/>
      <c r="E31" s="12"/>
      <c r="F31" s="26"/>
      <c r="G31" s="26"/>
      <c r="H31" s="26"/>
    </row>
    <row r="32" spans="1:8" hidden="1" outlineLevel="3">
      <c r="A32" s="11"/>
      <c r="B32" s="12"/>
      <c r="C32" s="12"/>
      <c r="D32" s="12"/>
      <c r="E32" s="12"/>
      <c r="F32" s="26"/>
      <c r="G32" s="26"/>
      <c r="H32" s="26"/>
    </row>
    <row r="33" spans="1:8" ht="47.25" outlineLevel="6">
      <c r="A33" s="11" t="s">
        <v>16</v>
      </c>
      <c r="B33" s="12" t="s">
        <v>60</v>
      </c>
      <c r="C33" s="12" t="s">
        <v>94</v>
      </c>
      <c r="D33" s="12" t="s">
        <v>99</v>
      </c>
      <c r="E33" s="12" t="s">
        <v>99</v>
      </c>
      <c r="F33" s="26">
        <v>407.5</v>
      </c>
      <c r="G33" s="26">
        <v>407.5</v>
      </c>
      <c r="H33" s="26">
        <v>407.5</v>
      </c>
    </row>
    <row r="34" spans="1:8" s="3" customFormat="1" hidden="1" outlineLevel="1">
      <c r="A34" s="11"/>
      <c r="B34" s="12"/>
      <c r="C34" s="12"/>
      <c r="D34" s="12"/>
      <c r="E34" s="12"/>
      <c r="F34" s="26"/>
      <c r="G34" s="26"/>
      <c r="H34" s="26"/>
    </row>
    <row r="35" spans="1:8" hidden="1" outlineLevel="2">
      <c r="A35" s="11"/>
      <c r="B35" s="12"/>
      <c r="C35" s="12"/>
      <c r="D35" s="12"/>
      <c r="E35" s="12"/>
      <c r="F35" s="26"/>
      <c r="G35" s="26"/>
      <c r="H35" s="26"/>
    </row>
    <row r="36" spans="1:8" ht="47.25" outlineLevel="3">
      <c r="A36" s="11" t="s">
        <v>20</v>
      </c>
      <c r="B36" s="12" t="s">
        <v>61</v>
      </c>
      <c r="C36" s="12"/>
      <c r="D36" s="12"/>
      <c r="E36" s="12"/>
      <c r="F36" s="26">
        <f>F37+F50+F54</f>
        <v>49992.478229999993</v>
      </c>
      <c r="G36" s="26">
        <f t="shared" ref="G36:H36" si="5">G37+G50+G54</f>
        <v>56555.899999999994</v>
      </c>
      <c r="H36" s="26">
        <f t="shared" si="5"/>
        <v>56555.899999999994</v>
      </c>
    </row>
    <row r="37" spans="1:8" ht="47.25" outlineLevel="6">
      <c r="A37" s="11" t="s">
        <v>21</v>
      </c>
      <c r="B37" s="12" t="s">
        <v>62</v>
      </c>
      <c r="C37" s="12"/>
      <c r="D37" s="12"/>
      <c r="E37" s="12"/>
      <c r="F37" s="26">
        <f>F38+F41+F44+F47</f>
        <v>47008.768739999992</v>
      </c>
      <c r="G37" s="26">
        <f t="shared" ref="G37:H37" si="6">G38+G41+G44+G47</f>
        <v>52453.299999999996</v>
      </c>
      <c r="H37" s="26">
        <f t="shared" si="6"/>
        <v>52453.299999999996</v>
      </c>
    </row>
    <row r="38" spans="1:8" ht="93" customHeight="1" outlineLevel="3">
      <c r="A38" s="11" t="s">
        <v>15</v>
      </c>
      <c r="B38" s="12" t="s">
        <v>62</v>
      </c>
      <c r="C38" s="12" t="s">
        <v>93</v>
      </c>
      <c r="D38" s="12" t="s">
        <v>99</v>
      </c>
      <c r="E38" s="12" t="s">
        <v>100</v>
      </c>
      <c r="F38" s="26">
        <v>5193.6000000000004</v>
      </c>
      <c r="G38" s="26">
        <v>5193.6000000000004</v>
      </c>
      <c r="H38" s="26">
        <v>5193.6000000000004</v>
      </c>
    </row>
    <row r="39" spans="1:8" hidden="1" outlineLevel="6">
      <c r="A39" s="11"/>
      <c r="B39" s="12"/>
      <c r="C39" s="12"/>
      <c r="D39" s="12"/>
      <c r="E39" s="12"/>
      <c r="F39" s="26"/>
      <c r="G39" s="26"/>
      <c r="H39" s="26"/>
    </row>
    <row r="40" spans="1:8" hidden="1" outlineLevel="6">
      <c r="A40" s="11"/>
      <c r="B40" s="12"/>
      <c r="C40" s="12"/>
      <c r="D40" s="12"/>
      <c r="E40" s="12"/>
      <c r="F40" s="26"/>
      <c r="G40" s="26"/>
      <c r="H40" s="26"/>
    </row>
    <row r="41" spans="1:8" s="3" customFormat="1" ht="47.25" outlineLevel="1" collapsed="1">
      <c r="A41" s="11" t="s">
        <v>16</v>
      </c>
      <c r="B41" s="12" t="s">
        <v>62</v>
      </c>
      <c r="C41" s="12" t="s">
        <v>94</v>
      </c>
      <c r="D41" s="12" t="s">
        <v>99</v>
      </c>
      <c r="E41" s="12" t="s">
        <v>100</v>
      </c>
      <c r="F41" s="26">
        <v>854</v>
      </c>
      <c r="G41" s="26">
        <v>854</v>
      </c>
      <c r="H41" s="26">
        <v>854</v>
      </c>
    </row>
    <row r="42" spans="1:8" hidden="1" outlineLevel="2">
      <c r="A42" s="11"/>
      <c r="B42" s="12"/>
      <c r="C42" s="12"/>
      <c r="D42" s="12"/>
      <c r="E42" s="12"/>
      <c r="F42" s="26"/>
      <c r="G42" s="26"/>
      <c r="H42" s="26"/>
    </row>
    <row r="43" spans="1:8" hidden="1" outlineLevel="3">
      <c r="A43" s="11"/>
      <c r="B43" s="12"/>
      <c r="C43" s="12"/>
      <c r="D43" s="12"/>
      <c r="E43" s="12"/>
      <c r="F43" s="26"/>
      <c r="G43" s="26"/>
      <c r="H43" s="26"/>
    </row>
    <row r="44" spans="1:8" ht="45.75" customHeight="1" outlineLevel="6">
      <c r="A44" s="11" t="s">
        <v>22</v>
      </c>
      <c r="B44" s="12" t="s">
        <v>62</v>
      </c>
      <c r="C44" s="12" t="s">
        <v>96</v>
      </c>
      <c r="D44" s="12" t="s">
        <v>99</v>
      </c>
      <c r="E44" s="12" t="s">
        <v>100</v>
      </c>
      <c r="F44" s="26">
        <f>46400-5444.53126</f>
        <v>40955.468739999997</v>
      </c>
      <c r="G44" s="26">
        <v>46400</v>
      </c>
      <c r="H44" s="26">
        <v>46400</v>
      </c>
    </row>
    <row r="45" spans="1:8" hidden="1" outlineLevel="3">
      <c r="A45" s="11"/>
      <c r="B45" s="12"/>
      <c r="C45" s="12"/>
      <c r="D45" s="12"/>
      <c r="E45" s="12"/>
      <c r="F45" s="26"/>
      <c r="G45" s="26"/>
      <c r="H45" s="26"/>
    </row>
    <row r="46" spans="1:8" hidden="1" outlineLevel="6">
      <c r="A46" s="11"/>
      <c r="B46" s="12"/>
      <c r="C46" s="12"/>
      <c r="D46" s="12"/>
      <c r="E46" s="12"/>
      <c r="F46" s="26"/>
      <c r="G46" s="26"/>
      <c r="H46" s="26"/>
    </row>
    <row r="47" spans="1:8" outlineLevel="3" collapsed="1">
      <c r="A47" s="11" t="s">
        <v>18</v>
      </c>
      <c r="B47" s="12" t="s">
        <v>62</v>
      </c>
      <c r="C47" s="12" t="s">
        <v>95</v>
      </c>
      <c r="D47" s="12" t="s">
        <v>99</v>
      </c>
      <c r="E47" s="12" t="s">
        <v>100</v>
      </c>
      <c r="F47" s="26">
        <v>5.7</v>
      </c>
      <c r="G47" s="26">
        <v>5.7</v>
      </c>
      <c r="H47" s="26">
        <v>5.7</v>
      </c>
    </row>
    <row r="48" spans="1:8" hidden="1" outlineLevel="6">
      <c r="A48" s="11"/>
      <c r="B48" s="12"/>
      <c r="C48" s="12"/>
      <c r="D48" s="12"/>
      <c r="E48" s="12"/>
      <c r="F48" s="26"/>
      <c r="G48" s="26"/>
      <c r="H48" s="26"/>
    </row>
    <row r="49" spans="1:8" hidden="1" outlineLevel="2">
      <c r="A49" s="11"/>
      <c r="B49" s="12"/>
      <c r="C49" s="12"/>
      <c r="D49" s="12"/>
      <c r="E49" s="12"/>
      <c r="F49" s="26"/>
      <c r="G49" s="26"/>
      <c r="H49" s="26"/>
    </row>
    <row r="50" spans="1:8" ht="31.5" outlineLevel="3">
      <c r="A50" s="11" t="s">
        <v>23</v>
      </c>
      <c r="B50" s="12" t="s">
        <v>63</v>
      </c>
      <c r="C50" s="12"/>
      <c r="D50" s="12"/>
      <c r="E50" s="12"/>
      <c r="F50" s="26">
        <f>F51</f>
        <v>2300</v>
      </c>
      <c r="G50" s="26">
        <f t="shared" ref="G50:H50" si="7">G51</f>
        <v>2300</v>
      </c>
      <c r="H50" s="26">
        <f t="shared" si="7"/>
        <v>2300</v>
      </c>
    </row>
    <row r="51" spans="1:8" ht="47.25" outlineLevel="6">
      <c r="A51" s="11" t="s">
        <v>16</v>
      </c>
      <c r="B51" s="12" t="s">
        <v>63</v>
      </c>
      <c r="C51" s="12" t="s">
        <v>94</v>
      </c>
      <c r="D51" s="12" t="s">
        <v>99</v>
      </c>
      <c r="E51" s="12" t="s">
        <v>100</v>
      </c>
      <c r="F51" s="26">
        <v>2300</v>
      </c>
      <c r="G51" s="26">
        <v>2300</v>
      </c>
      <c r="H51" s="26">
        <v>2300</v>
      </c>
    </row>
    <row r="52" spans="1:8" hidden="1" outlineLevel="3">
      <c r="A52" s="11"/>
      <c r="B52" s="12"/>
      <c r="C52" s="12"/>
      <c r="D52" s="12"/>
      <c r="E52" s="12"/>
      <c r="F52" s="26"/>
      <c r="G52" s="26"/>
      <c r="H52" s="26"/>
    </row>
    <row r="53" spans="1:8" hidden="1" outlineLevel="4">
      <c r="A53" s="11"/>
      <c r="B53" s="12"/>
      <c r="C53" s="12"/>
      <c r="D53" s="12"/>
      <c r="E53" s="12"/>
      <c r="F53" s="26"/>
      <c r="G53" s="26"/>
      <c r="H53" s="26"/>
    </row>
    <row r="54" spans="1:8" ht="31.5" outlineLevel="3" collapsed="1">
      <c r="A54" s="11" t="s">
        <v>24</v>
      </c>
      <c r="B54" s="12" t="s">
        <v>64</v>
      </c>
      <c r="C54" s="12"/>
      <c r="D54" s="12"/>
      <c r="E54" s="12"/>
      <c r="F54" s="26">
        <f>F55</f>
        <v>683.70948999999996</v>
      </c>
      <c r="G54" s="26">
        <f t="shared" ref="G54:H54" si="8">G55</f>
        <v>1802.6</v>
      </c>
      <c r="H54" s="26">
        <f t="shared" si="8"/>
        <v>1802.6</v>
      </c>
    </row>
    <row r="55" spans="1:8" ht="47.25" outlineLevel="4">
      <c r="A55" s="11" t="s">
        <v>16</v>
      </c>
      <c r="B55" s="12" t="s">
        <v>64</v>
      </c>
      <c r="C55" s="12" t="s">
        <v>94</v>
      </c>
      <c r="D55" s="12" t="s">
        <v>99</v>
      </c>
      <c r="E55" s="12" t="s">
        <v>100</v>
      </c>
      <c r="F55" s="26">
        <f>1442.6-500.4-231.75051-26.74</f>
        <v>683.70948999999996</v>
      </c>
      <c r="G55" s="26">
        <v>1802.6</v>
      </c>
      <c r="H55" s="26">
        <v>1802.6</v>
      </c>
    </row>
    <row r="56" spans="1:8" hidden="1" outlineLevel="3">
      <c r="A56" s="11"/>
      <c r="B56" s="12"/>
      <c r="C56" s="12"/>
      <c r="D56" s="12"/>
      <c r="E56" s="12"/>
      <c r="F56" s="26"/>
      <c r="G56" s="26"/>
      <c r="H56" s="26"/>
    </row>
    <row r="57" spans="1:8" hidden="1" outlineLevel="4">
      <c r="A57" s="11"/>
      <c r="B57" s="12"/>
      <c r="C57" s="12"/>
      <c r="D57" s="12"/>
      <c r="E57" s="12"/>
      <c r="F57" s="26"/>
      <c r="G57" s="26"/>
      <c r="H57" s="26"/>
    </row>
    <row r="58" spans="1:8" ht="47.25" outlineLevel="3" collapsed="1">
      <c r="A58" s="11" t="s">
        <v>25</v>
      </c>
      <c r="B58" s="12" t="s">
        <v>65</v>
      </c>
      <c r="C58" s="12"/>
      <c r="D58" s="12"/>
      <c r="E58" s="12"/>
      <c r="F58" s="26">
        <f>F59+F64</f>
        <v>21492.9</v>
      </c>
      <c r="G58" s="26">
        <f t="shared" ref="G58:H58" si="9">G59+G64</f>
        <v>21491.5</v>
      </c>
      <c r="H58" s="26">
        <f t="shared" si="9"/>
        <v>21491.5</v>
      </c>
    </row>
    <row r="59" spans="1:8" outlineLevel="4">
      <c r="A59" s="11" t="s">
        <v>26</v>
      </c>
      <c r="B59" s="12" t="s">
        <v>66</v>
      </c>
      <c r="C59" s="12"/>
      <c r="D59" s="12"/>
      <c r="E59" s="12"/>
      <c r="F59" s="26">
        <f>F60+F63</f>
        <v>3051.4</v>
      </c>
      <c r="G59" s="26">
        <f>G60+G63</f>
        <v>3050</v>
      </c>
      <c r="H59" s="26">
        <f>H60+H63</f>
        <v>3050</v>
      </c>
    </row>
    <row r="60" spans="1:8" s="3" customFormat="1" ht="47.25" outlineLevel="1">
      <c r="A60" s="11" t="s">
        <v>16</v>
      </c>
      <c r="B60" s="12" t="s">
        <v>66</v>
      </c>
      <c r="C60" s="12" t="s">
        <v>94</v>
      </c>
      <c r="D60" s="12" t="s">
        <v>99</v>
      </c>
      <c r="E60" s="12" t="s">
        <v>100</v>
      </c>
      <c r="F60" s="26">
        <f>3050-0.066</f>
        <v>3049.9340000000002</v>
      </c>
      <c r="G60" s="26">
        <v>3050</v>
      </c>
      <c r="H60" s="26">
        <v>3050</v>
      </c>
    </row>
    <row r="61" spans="1:8" hidden="1" outlineLevel="2">
      <c r="A61" s="11"/>
      <c r="B61" s="12"/>
      <c r="C61" s="12"/>
      <c r="D61" s="12"/>
      <c r="E61" s="12"/>
      <c r="F61" s="26"/>
      <c r="G61" s="26"/>
      <c r="H61" s="26"/>
    </row>
    <row r="62" spans="1:8" hidden="1" outlineLevel="3">
      <c r="A62" s="11"/>
      <c r="B62" s="12"/>
      <c r="C62" s="12"/>
      <c r="D62" s="12"/>
      <c r="E62" s="12"/>
      <c r="F62" s="26"/>
      <c r="G62" s="26"/>
      <c r="H62" s="26"/>
    </row>
    <row r="63" spans="1:8" outlineLevel="3">
      <c r="A63" s="11" t="s">
        <v>18</v>
      </c>
      <c r="B63" s="12" t="s">
        <v>66</v>
      </c>
      <c r="C63" s="12" t="s">
        <v>95</v>
      </c>
      <c r="D63" s="12" t="s">
        <v>99</v>
      </c>
      <c r="E63" s="12" t="s">
        <v>100</v>
      </c>
      <c r="F63" s="26">
        <f>0.466+1</f>
        <v>1.466</v>
      </c>
      <c r="G63" s="26">
        <v>0</v>
      </c>
      <c r="H63" s="26">
        <v>0</v>
      </c>
    </row>
    <row r="64" spans="1:8" ht="31.5" outlineLevel="4">
      <c r="A64" s="11" t="s">
        <v>27</v>
      </c>
      <c r="B64" s="12" t="s">
        <v>67</v>
      </c>
      <c r="C64" s="12"/>
      <c r="D64" s="12"/>
      <c r="E64" s="12"/>
      <c r="F64" s="26">
        <f>F65</f>
        <v>18441.5</v>
      </c>
      <c r="G64" s="26">
        <f t="shared" ref="G64:H64" si="10">G65</f>
        <v>18441.5</v>
      </c>
      <c r="H64" s="26">
        <f t="shared" si="10"/>
        <v>18441.5</v>
      </c>
    </row>
    <row r="65" spans="1:8" outlineLevel="4">
      <c r="A65" s="11" t="s">
        <v>18</v>
      </c>
      <c r="B65" s="12" t="s">
        <v>67</v>
      </c>
      <c r="C65" s="12" t="s">
        <v>95</v>
      </c>
      <c r="D65" s="12" t="s">
        <v>99</v>
      </c>
      <c r="E65" s="12" t="s">
        <v>100</v>
      </c>
      <c r="F65" s="26">
        <v>18441.5</v>
      </c>
      <c r="G65" s="26">
        <v>18441.5</v>
      </c>
      <c r="H65" s="26">
        <v>18441.5</v>
      </c>
    </row>
    <row r="66" spans="1:8" hidden="1" outlineLevel="3">
      <c r="A66" s="11"/>
      <c r="B66" s="12"/>
      <c r="C66" s="12"/>
      <c r="D66" s="12"/>
      <c r="E66" s="12"/>
      <c r="F66" s="26"/>
      <c r="G66" s="26"/>
      <c r="H66" s="26"/>
    </row>
    <row r="67" spans="1:8" hidden="1" outlineLevel="4">
      <c r="A67" s="11"/>
      <c r="B67" s="12"/>
      <c r="C67" s="12"/>
      <c r="D67" s="12"/>
      <c r="E67" s="12"/>
      <c r="F67" s="26"/>
      <c r="G67" s="26"/>
      <c r="H67" s="26"/>
    </row>
    <row r="68" spans="1:8" ht="32.25" customHeight="1" outlineLevel="4">
      <c r="A68" s="11" t="s">
        <v>28</v>
      </c>
      <c r="B68" s="12" t="s">
        <v>68</v>
      </c>
      <c r="C68" s="12"/>
      <c r="D68" s="12"/>
      <c r="E68" s="12"/>
      <c r="F68" s="26">
        <f>F69</f>
        <v>1231.2</v>
      </c>
      <c r="G68" s="26">
        <f t="shared" ref="G68:H69" si="11">G69</f>
        <v>1231.2</v>
      </c>
      <c r="H68" s="26">
        <f t="shared" si="11"/>
        <v>1231.2</v>
      </c>
    </row>
    <row r="69" spans="1:8" ht="63" outlineLevel="4">
      <c r="A69" s="11" t="s">
        <v>29</v>
      </c>
      <c r="B69" s="12" t="s">
        <v>69</v>
      </c>
      <c r="C69" s="12"/>
      <c r="D69" s="12"/>
      <c r="E69" s="12"/>
      <c r="F69" s="26">
        <f>F70</f>
        <v>1231.2</v>
      </c>
      <c r="G69" s="26">
        <f t="shared" si="11"/>
        <v>1231.2</v>
      </c>
      <c r="H69" s="26">
        <f t="shared" si="11"/>
        <v>1231.2</v>
      </c>
    </row>
    <row r="70" spans="1:8" ht="47.25" outlineLevel="3">
      <c r="A70" s="11" t="s">
        <v>16</v>
      </c>
      <c r="B70" s="12" t="s">
        <v>69</v>
      </c>
      <c r="C70" s="12" t="s">
        <v>94</v>
      </c>
      <c r="D70" s="12" t="s">
        <v>101</v>
      </c>
      <c r="E70" s="12" t="s">
        <v>99</v>
      </c>
      <c r="F70" s="26">
        <v>1231.2</v>
      </c>
      <c r="G70" s="26">
        <v>1231.2</v>
      </c>
      <c r="H70" s="26">
        <v>1231.2</v>
      </c>
    </row>
    <row r="71" spans="1:8" hidden="1" outlineLevel="4">
      <c r="A71" s="11"/>
      <c r="B71" s="12"/>
      <c r="C71" s="12"/>
      <c r="D71" s="12"/>
      <c r="E71" s="12"/>
      <c r="F71" s="26"/>
      <c r="G71" s="26"/>
      <c r="H71" s="26"/>
    </row>
    <row r="72" spans="1:8" hidden="1" outlineLevel="4">
      <c r="A72" s="11"/>
      <c r="B72" s="12"/>
      <c r="C72" s="12"/>
      <c r="D72" s="12"/>
      <c r="E72" s="12"/>
      <c r="F72" s="26"/>
      <c r="G72" s="26"/>
      <c r="H72" s="26"/>
    </row>
    <row r="73" spans="1:8" ht="47.25" customHeight="1" outlineLevel="2" collapsed="1">
      <c r="A73" s="9" t="s">
        <v>30</v>
      </c>
      <c r="B73" s="10" t="s">
        <v>70</v>
      </c>
      <c r="C73" s="10"/>
      <c r="D73" s="10"/>
      <c r="E73" s="10"/>
      <c r="F73" s="25">
        <f>F74+F83</f>
        <v>34169.780000000006</v>
      </c>
      <c r="G73" s="25">
        <f t="shared" ref="G73:H73" si="12">G74+G83</f>
        <v>575.9</v>
      </c>
      <c r="H73" s="25">
        <f t="shared" si="12"/>
        <v>575.9</v>
      </c>
    </row>
    <row r="74" spans="1:8" ht="63" outlineLevel="3">
      <c r="A74" s="11" t="s">
        <v>31</v>
      </c>
      <c r="B74" s="12" t="s">
        <v>71</v>
      </c>
      <c r="C74" s="12"/>
      <c r="D74" s="12"/>
      <c r="E74" s="12"/>
      <c r="F74" s="26">
        <f>F75+F81+F79</f>
        <v>34093.880000000005</v>
      </c>
      <c r="G74" s="26">
        <f>G75+G81+G79</f>
        <v>500</v>
      </c>
      <c r="H74" s="26">
        <f>H75+H81+H79</f>
        <v>500</v>
      </c>
    </row>
    <row r="75" spans="1:8" ht="47.25" outlineLevel="4">
      <c r="A75" s="11" t="s">
        <v>32</v>
      </c>
      <c r="B75" s="12" t="s">
        <v>72</v>
      </c>
      <c r="C75" s="12"/>
      <c r="D75" s="12"/>
      <c r="E75" s="12"/>
      <c r="F75" s="26">
        <f>F76</f>
        <v>0</v>
      </c>
      <c r="G75" s="26">
        <f t="shared" ref="G75:H75" si="13">G76</f>
        <v>500</v>
      </c>
      <c r="H75" s="26">
        <f t="shared" si="13"/>
        <v>500</v>
      </c>
    </row>
    <row r="76" spans="1:8" ht="47.25" outlineLevel="4">
      <c r="A76" s="11" t="s">
        <v>33</v>
      </c>
      <c r="B76" s="12" t="s">
        <v>72</v>
      </c>
      <c r="C76" s="12" t="s">
        <v>97</v>
      </c>
      <c r="D76" s="12" t="s">
        <v>99</v>
      </c>
      <c r="E76" s="12" t="s">
        <v>102</v>
      </c>
      <c r="F76" s="26">
        <f>500-500</f>
        <v>0</v>
      </c>
      <c r="G76" s="26">
        <v>500</v>
      </c>
      <c r="H76" s="26">
        <v>500</v>
      </c>
    </row>
    <row r="77" spans="1:8" hidden="1" outlineLevel="4">
      <c r="A77" s="11"/>
      <c r="B77" s="12"/>
      <c r="C77" s="12"/>
      <c r="D77" s="12"/>
      <c r="E77" s="12"/>
      <c r="F77" s="26"/>
      <c r="G77" s="26"/>
      <c r="H77" s="26"/>
    </row>
    <row r="78" spans="1:8" hidden="1" outlineLevel="3">
      <c r="A78" s="11"/>
      <c r="B78" s="12"/>
      <c r="C78" s="12"/>
      <c r="D78" s="12"/>
      <c r="E78" s="12"/>
      <c r="F78" s="26"/>
      <c r="G78" s="26"/>
      <c r="H78" s="26"/>
    </row>
    <row r="79" spans="1:8" ht="63" outlineLevel="3">
      <c r="A79" s="16" t="s">
        <v>552</v>
      </c>
      <c r="B79" s="12" t="s">
        <v>569</v>
      </c>
      <c r="C79" s="12"/>
      <c r="D79" s="12"/>
      <c r="E79" s="12"/>
      <c r="F79" s="26">
        <f>F80</f>
        <v>30543.88</v>
      </c>
      <c r="G79" s="26">
        <f t="shared" ref="G79:H79" si="14">G80</f>
        <v>0</v>
      </c>
      <c r="H79" s="26">
        <f t="shared" si="14"/>
        <v>0</v>
      </c>
    </row>
    <row r="80" spans="1:8" ht="47.25" outlineLevel="3">
      <c r="A80" s="11" t="s">
        <v>33</v>
      </c>
      <c r="B80" s="12" t="s">
        <v>569</v>
      </c>
      <c r="C80" s="12" t="s">
        <v>97</v>
      </c>
      <c r="D80" s="12" t="s">
        <v>99</v>
      </c>
      <c r="E80" s="12" t="s">
        <v>102</v>
      </c>
      <c r="F80" s="26">
        <v>30543.88</v>
      </c>
      <c r="G80" s="26">
        <v>0</v>
      </c>
      <c r="H80" s="26">
        <v>0</v>
      </c>
    </row>
    <row r="81" spans="1:8" ht="63" outlineLevel="3">
      <c r="A81" s="16" t="s">
        <v>552</v>
      </c>
      <c r="B81" s="12" t="s">
        <v>551</v>
      </c>
      <c r="C81" s="12"/>
      <c r="D81" s="12"/>
      <c r="E81" s="12"/>
      <c r="F81" s="26">
        <f>F82</f>
        <v>3550</v>
      </c>
      <c r="G81" s="26">
        <f t="shared" ref="G81:H81" si="15">G82</f>
        <v>0</v>
      </c>
      <c r="H81" s="26">
        <f t="shared" si="15"/>
        <v>0</v>
      </c>
    </row>
    <row r="82" spans="1:8" ht="47.25" outlineLevel="3">
      <c r="A82" s="11" t="s">
        <v>33</v>
      </c>
      <c r="B82" s="12" t="s">
        <v>551</v>
      </c>
      <c r="C82" s="12" t="s">
        <v>97</v>
      </c>
      <c r="D82" s="12" t="s">
        <v>99</v>
      </c>
      <c r="E82" s="12" t="s">
        <v>102</v>
      </c>
      <c r="F82" s="26">
        <v>3550</v>
      </c>
      <c r="G82" s="26">
        <v>0</v>
      </c>
      <c r="H82" s="26">
        <v>0</v>
      </c>
    </row>
    <row r="83" spans="1:8" ht="47.25" outlineLevel="4">
      <c r="A83" s="11" t="s">
        <v>34</v>
      </c>
      <c r="B83" s="12" t="s">
        <v>73</v>
      </c>
      <c r="C83" s="12"/>
      <c r="D83" s="12"/>
      <c r="E83" s="12"/>
      <c r="F83" s="26">
        <f>F84</f>
        <v>75.900000000000006</v>
      </c>
      <c r="G83" s="26">
        <f t="shared" ref="G83:H84" si="16">G84</f>
        <v>75.900000000000006</v>
      </c>
      <c r="H83" s="26">
        <f t="shared" si="16"/>
        <v>75.900000000000006</v>
      </c>
    </row>
    <row r="84" spans="1:8" ht="31.5" outlineLevel="3">
      <c r="A84" s="11" t="s">
        <v>35</v>
      </c>
      <c r="B84" s="12" t="s">
        <v>74</v>
      </c>
      <c r="C84" s="12"/>
      <c r="D84" s="12"/>
      <c r="E84" s="12"/>
      <c r="F84" s="26">
        <f>F85</f>
        <v>75.900000000000006</v>
      </c>
      <c r="G84" s="26">
        <f t="shared" si="16"/>
        <v>75.900000000000006</v>
      </c>
      <c r="H84" s="26">
        <f t="shared" si="16"/>
        <v>75.900000000000006</v>
      </c>
    </row>
    <row r="85" spans="1:8" ht="47.25" outlineLevel="4">
      <c r="A85" s="11" t="s">
        <v>16</v>
      </c>
      <c r="B85" s="12" t="s">
        <v>74</v>
      </c>
      <c r="C85" s="12" t="s">
        <v>94</v>
      </c>
      <c r="D85" s="12" t="s">
        <v>101</v>
      </c>
      <c r="E85" s="12" t="s">
        <v>103</v>
      </c>
      <c r="F85" s="26">
        <v>75.900000000000006</v>
      </c>
      <c r="G85" s="26">
        <v>75.900000000000006</v>
      </c>
      <c r="H85" s="26">
        <v>75.900000000000006</v>
      </c>
    </row>
    <row r="86" spans="1:8" hidden="1" outlineLevel="3">
      <c r="A86" s="11"/>
      <c r="B86" s="12"/>
      <c r="C86" s="12"/>
      <c r="D86" s="12"/>
      <c r="E86" s="12"/>
      <c r="F86" s="26"/>
      <c r="G86" s="26"/>
      <c r="H86" s="26"/>
    </row>
    <row r="87" spans="1:8" hidden="1" outlineLevel="4">
      <c r="A87" s="11"/>
      <c r="B87" s="12"/>
      <c r="C87" s="12"/>
      <c r="D87" s="12"/>
      <c r="E87" s="12"/>
      <c r="F87" s="26"/>
      <c r="G87" s="26"/>
      <c r="H87" s="26"/>
    </row>
    <row r="88" spans="1:8" ht="63" outlineLevel="2" collapsed="1">
      <c r="A88" s="9" t="s">
        <v>36</v>
      </c>
      <c r="B88" s="10" t="s">
        <v>75</v>
      </c>
      <c r="C88" s="10"/>
      <c r="D88" s="10"/>
      <c r="E88" s="10"/>
      <c r="F88" s="25">
        <f>F89</f>
        <v>12800</v>
      </c>
      <c r="G88" s="25">
        <f t="shared" ref="G88:H90" si="17">G89</f>
        <v>12800</v>
      </c>
      <c r="H88" s="25">
        <f t="shared" si="17"/>
        <v>12800</v>
      </c>
    </row>
    <row r="89" spans="1:8" ht="63" outlineLevel="3">
      <c r="A89" s="11" t="s">
        <v>37</v>
      </c>
      <c r="B89" s="12" t="s">
        <v>76</v>
      </c>
      <c r="C89" s="12"/>
      <c r="D89" s="12"/>
      <c r="E89" s="12"/>
      <c r="F89" s="26">
        <f>F90</f>
        <v>12800</v>
      </c>
      <c r="G89" s="26">
        <f t="shared" si="17"/>
        <v>12800</v>
      </c>
      <c r="H89" s="26">
        <f t="shared" si="17"/>
        <v>12800</v>
      </c>
    </row>
    <row r="90" spans="1:8" ht="31.5" outlineLevel="4">
      <c r="A90" s="11" t="s">
        <v>38</v>
      </c>
      <c r="B90" s="12" t="s">
        <v>77</v>
      </c>
      <c r="C90" s="12"/>
      <c r="D90" s="12"/>
      <c r="E90" s="12"/>
      <c r="F90" s="26">
        <f>F91</f>
        <v>12800</v>
      </c>
      <c r="G90" s="26">
        <f t="shared" si="17"/>
        <v>12800</v>
      </c>
      <c r="H90" s="26">
        <f t="shared" si="17"/>
        <v>12800</v>
      </c>
    </row>
    <row r="91" spans="1:8" ht="47.25" outlineLevel="3">
      <c r="A91" s="11" t="s">
        <v>16</v>
      </c>
      <c r="B91" s="12" t="s">
        <v>77</v>
      </c>
      <c r="C91" s="12" t="s">
        <v>94</v>
      </c>
      <c r="D91" s="12" t="s">
        <v>99</v>
      </c>
      <c r="E91" s="12" t="s">
        <v>104</v>
      </c>
      <c r="F91" s="26">
        <v>12800</v>
      </c>
      <c r="G91" s="26">
        <v>12800</v>
      </c>
      <c r="H91" s="26">
        <v>12800</v>
      </c>
    </row>
    <row r="92" spans="1:8" hidden="1" outlineLevel="4">
      <c r="A92" s="11"/>
      <c r="B92" s="12"/>
      <c r="C92" s="12"/>
      <c r="D92" s="12"/>
      <c r="E92" s="12"/>
      <c r="F92" s="26"/>
      <c r="G92" s="26"/>
      <c r="H92" s="26"/>
    </row>
    <row r="93" spans="1:8" hidden="1" outlineLevel="2">
      <c r="A93" s="11"/>
      <c r="B93" s="12"/>
      <c r="C93" s="12"/>
      <c r="D93" s="12"/>
      <c r="E93" s="12"/>
      <c r="F93" s="26"/>
      <c r="G93" s="26"/>
      <c r="H93" s="26"/>
    </row>
    <row r="94" spans="1:8" ht="78.75" outlineLevel="3">
      <c r="A94" s="9" t="s">
        <v>39</v>
      </c>
      <c r="B94" s="10" t="s">
        <v>78</v>
      </c>
      <c r="C94" s="10"/>
      <c r="D94" s="10"/>
      <c r="E94" s="10"/>
      <c r="F94" s="25">
        <f>F95+F114</f>
        <v>104970.61011000001</v>
      </c>
      <c r="G94" s="25">
        <f t="shared" ref="G94:H94" si="18">G95+G114</f>
        <v>81081.400000000009</v>
      </c>
      <c r="H94" s="25">
        <f t="shared" si="18"/>
        <v>81589.8</v>
      </c>
    </row>
    <row r="95" spans="1:8" ht="63" outlineLevel="4">
      <c r="A95" s="11" t="s">
        <v>40</v>
      </c>
      <c r="B95" s="12" t="s">
        <v>79</v>
      </c>
      <c r="C95" s="12"/>
      <c r="D95" s="12"/>
      <c r="E95" s="12"/>
      <c r="F95" s="26">
        <f>F96+F100+F104+F108+F112</f>
        <v>104970.61011000001</v>
      </c>
      <c r="G95" s="26">
        <f t="shared" ref="G95:H95" si="19">G96+G100+G104+G108</f>
        <v>81081.400000000009</v>
      </c>
      <c r="H95" s="26">
        <f t="shared" si="19"/>
        <v>81589.8</v>
      </c>
    </row>
    <row r="96" spans="1:8" s="2" customFormat="1" ht="47.25">
      <c r="A96" s="11" t="s">
        <v>41</v>
      </c>
      <c r="B96" s="12" t="s">
        <v>80</v>
      </c>
      <c r="C96" s="12"/>
      <c r="D96" s="12"/>
      <c r="E96" s="12"/>
      <c r="F96" s="26">
        <f>F97</f>
        <v>73609.284</v>
      </c>
      <c r="G96" s="26">
        <f t="shared" ref="G96:H96" si="20">G97</f>
        <v>80581.400000000009</v>
      </c>
      <c r="H96" s="26">
        <f t="shared" si="20"/>
        <v>81089.8</v>
      </c>
    </row>
    <row r="97" spans="1:8" ht="45.75" customHeight="1" outlineLevel="2">
      <c r="A97" s="11" t="s">
        <v>22</v>
      </c>
      <c r="B97" s="12" t="s">
        <v>80</v>
      </c>
      <c r="C97" s="12" t="s">
        <v>96</v>
      </c>
      <c r="D97" s="12" t="s">
        <v>101</v>
      </c>
      <c r="E97" s="12" t="s">
        <v>105</v>
      </c>
      <c r="F97" s="26">
        <f>78670.3-1249.7-3285-526.316</f>
        <v>73609.284</v>
      </c>
      <c r="G97" s="26">
        <f>81831.1-1249.7</f>
        <v>80581.400000000009</v>
      </c>
      <c r="H97" s="26">
        <f>82339.5-1249.7</f>
        <v>81089.8</v>
      </c>
    </row>
    <row r="98" spans="1:8" hidden="1" outlineLevel="3">
      <c r="A98" s="11"/>
      <c r="B98" s="12"/>
      <c r="C98" s="12"/>
      <c r="D98" s="12"/>
      <c r="E98" s="12"/>
      <c r="F98" s="26"/>
      <c r="G98" s="26"/>
      <c r="H98" s="26"/>
    </row>
    <row r="99" spans="1:8" hidden="1" outlineLevel="4">
      <c r="A99" s="11"/>
      <c r="B99" s="12"/>
      <c r="C99" s="12"/>
      <c r="D99" s="12"/>
      <c r="E99" s="12"/>
      <c r="F99" s="26"/>
      <c r="G99" s="26"/>
      <c r="H99" s="26"/>
    </row>
    <row r="100" spans="1:8" ht="31.5" outlineLevel="4">
      <c r="A100" s="11" t="s">
        <v>42</v>
      </c>
      <c r="B100" s="12" t="s">
        <v>81</v>
      </c>
      <c r="C100" s="12"/>
      <c r="D100" s="12"/>
      <c r="E100" s="12"/>
      <c r="F100" s="26">
        <f>F101</f>
        <v>0</v>
      </c>
      <c r="G100" s="26">
        <f t="shared" ref="G100:H100" si="21">G101</f>
        <v>300</v>
      </c>
      <c r="H100" s="26">
        <f t="shared" si="21"/>
        <v>300</v>
      </c>
    </row>
    <row r="101" spans="1:8" ht="47.25" outlineLevel="3">
      <c r="A101" s="11" t="s">
        <v>16</v>
      </c>
      <c r="B101" s="12" t="s">
        <v>81</v>
      </c>
      <c r="C101" s="12" t="s">
        <v>94</v>
      </c>
      <c r="D101" s="12" t="s">
        <v>101</v>
      </c>
      <c r="E101" s="12" t="s">
        <v>105</v>
      </c>
      <c r="F101" s="26">
        <f>300-300</f>
        <v>0</v>
      </c>
      <c r="G101" s="26">
        <v>300</v>
      </c>
      <c r="H101" s="26">
        <v>300</v>
      </c>
    </row>
    <row r="102" spans="1:8" hidden="1" outlineLevel="4">
      <c r="A102" s="11"/>
      <c r="B102" s="12"/>
      <c r="C102" s="12"/>
      <c r="D102" s="12"/>
      <c r="E102" s="12"/>
      <c r="F102" s="26"/>
      <c r="G102" s="26"/>
      <c r="H102" s="26"/>
    </row>
    <row r="103" spans="1:8" hidden="1" outlineLevel="2">
      <c r="A103" s="11"/>
      <c r="B103" s="12"/>
      <c r="C103" s="12"/>
      <c r="D103" s="12"/>
      <c r="E103" s="12"/>
      <c r="F103" s="26"/>
      <c r="G103" s="26"/>
      <c r="H103" s="26"/>
    </row>
    <row r="104" spans="1:8" ht="47.25" outlineLevel="3">
      <c r="A104" s="11" t="s">
        <v>43</v>
      </c>
      <c r="B104" s="12" t="s">
        <v>82</v>
      </c>
      <c r="C104" s="12"/>
      <c r="D104" s="12"/>
      <c r="E104" s="12"/>
      <c r="F104" s="26">
        <f>F105</f>
        <v>200</v>
      </c>
      <c r="G104" s="26">
        <f t="shared" ref="G104:H104" si="22">G105</f>
        <v>200</v>
      </c>
      <c r="H104" s="26">
        <f t="shared" si="22"/>
        <v>200</v>
      </c>
    </row>
    <row r="105" spans="1:8" ht="47.25" outlineLevel="6">
      <c r="A105" s="11" t="s">
        <v>16</v>
      </c>
      <c r="B105" s="12" t="s">
        <v>82</v>
      </c>
      <c r="C105" s="12" t="s">
        <v>94</v>
      </c>
      <c r="D105" s="12" t="s">
        <v>100</v>
      </c>
      <c r="E105" s="12" t="s">
        <v>105</v>
      </c>
      <c r="F105" s="26">
        <v>200</v>
      </c>
      <c r="G105" s="26">
        <v>200</v>
      </c>
      <c r="H105" s="26">
        <v>200</v>
      </c>
    </row>
    <row r="106" spans="1:8" hidden="1" outlineLevel="6">
      <c r="A106" s="11"/>
      <c r="B106" s="12"/>
      <c r="C106" s="12"/>
      <c r="D106" s="12"/>
      <c r="E106" s="12"/>
      <c r="F106" s="26"/>
      <c r="G106" s="26"/>
      <c r="H106" s="26"/>
    </row>
    <row r="107" spans="1:8" s="2" customFormat="1" hidden="1">
      <c r="A107" s="11"/>
      <c r="B107" s="12"/>
      <c r="C107" s="12"/>
      <c r="D107" s="12"/>
      <c r="E107" s="12"/>
      <c r="F107" s="26"/>
      <c r="G107" s="26"/>
      <c r="H107" s="26"/>
    </row>
    <row r="108" spans="1:8" ht="63" outlineLevel="2">
      <c r="A108" s="11" t="s">
        <v>44</v>
      </c>
      <c r="B108" s="12" t="s">
        <v>565</v>
      </c>
      <c r="C108" s="12"/>
      <c r="D108" s="12"/>
      <c r="E108" s="12"/>
      <c r="F108" s="26">
        <f>F109</f>
        <v>29603.259600000001</v>
      </c>
      <c r="G108" s="26">
        <f t="shared" ref="G108:H108" si="23">G109</f>
        <v>0</v>
      </c>
      <c r="H108" s="26">
        <f t="shared" si="23"/>
        <v>0</v>
      </c>
    </row>
    <row r="109" spans="1:8" ht="45.75" customHeight="1" outlineLevel="3">
      <c r="A109" s="11" t="s">
        <v>22</v>
      </c>
      <c r="B109" s="12" t="s">
        <v>565</v>
      </c>
      <c r="C109" s="12" t="s">
        <v>96</v>
      </c>
      <c r="D109" s="12" t="s">
        <v>101</v>
      </c>
      <c r="E109" s="12" t="s">
        <v>105</v>
      </c>
      <c r="F109" s="26">
        <f>10000+19603.2596</f>
        <v>29603.259600000001</v>
      </c>
      <c r="G109" s="26">
        <v>0</v>
      </c>
      <c r="H109" s="26">
        <v>0</v>
      </c>
    </row>
    <row r="110" spans="1:8" hidden="1" outlineLevel="4">
      <c r="A110" s="11"/>
      <c r="B110" s="12"/>
      <c r="C110" s="12"/>
      <c r="D110" s="12"/>
      <c r="E110" s="12"/>
      <c r="F110" s="26"/>
      <c r="G110" s="26"/>
      <c r="H110" s="26"/>
    </row>
    <row r="111" spans="1:8" hidden="1" outlineLevel="4">
      <c r="A111" s="11"/>
      <c r="B111" s="12"/>
      <c r="C111" s="12"/>
      <c r="D111" s="12"/>
      <c r="E111" s="12"/>
      <c r="F111" s="26"/>
      <c r="G111" s="26"/>
      <c r="H111" s="26"/>
    </row>
    <row r="112" spans="1:8" ht="63" outlineLevel="4">
      <c r="A112" s="11" t="s">
        <v>44</v>
      </c>
      <c r="B112" s="12" t="s">
        <v>568</v>
      </c>
      <c r="C112" s="12"/>
      <c r="D112" s="12"/>
      <c r="E112" s="12"/>
      <c r="F112" s="26">
        <f>F113</f>
        <v>1558.0665100000001</v>
      </c>
      <c r="G112" s="26">
        <f t="shared" ref="G112:H112" si="24">G113</f>
        <v>0</v>
      </c>
      <c r="H112" s="26">
        <f t="shared" si="24"/>
        <v>0</v>
      </c>
    </row>
    <row r="113" spans="1:8" ht="50.25" customHeight="1" outlineLevel="4">
      <c r="A113" s="11" t="s">
        <v>22</v>
      </c>
      <c r="B113" s="12" t="s">
        <v>568</v>
      </c>
      <c r="C113" s="12" t="s">
        <v>96</v>
      </c>
      <c r="D113" s="12" t="s">
        <v>101</v>
      </c>
      <c r="E113" s="12" t="s">
        <v>105</v>
      </c>
      <c r="F113" s="26">
        <f>526.316+1031.75051</f>
        <v>1558.0665100000001</v>
      </c>
      <c r="G113" s="26">
        <v>0</v>
      </c>
      <c r="H113" s="26">
        <v>0</v>
      </c>
    </row>
    <row r="114" spans="1:8" ht="63" hidden="1" outlineLevel="3">
      <c r="A114" s="11" t="s">
        <v>45</v>
      </c>
      <c r="B114" s="12" t="s">
        <v>83</v>
      </c>
      <c r="C114" s="12"/>
      <c r="D114" s="12"/>
      <c r="E114" s="12"/>
      <c r="F114" s="26">
        <f>F115+F119+F123+F127+F131</f>
        <v>0</v>
      </c>
      <c r="G114" s="26">
        <f t="shared" ref="G114:H114" si="25">G115+G119+G123+G127+G131</f>
        <v>0</v>
      </c>
      <c r="H114" s="26">
        <f t="shared" si="25"/>
        <v>0</v>
      </c>
    </row>
    <row r="115" spans="1:8" ht="63" hidden="1" outlineLevel="4">
      <c r="A115" s="11" t="s">
        <v>46</v>
      </c>
      <c r="B115" s="12" t="s">
        <v>84</v>
      </c>
      <c r="C115" s="12"/>
      <c r="D115" s="12"/>
      <c r="E115" s="12"/>
      <c r="F115" s="26">
        <f>F116</f>
        <v>0</v>
      </c>
      <c r="G115" s="26">
        <f t="shared" ref="G115:H115" si="26">G116</f>
        <v>0</v>
      </c>
      <c r="H115" s="26">
        <f t="shared" si="26"/>
        <v>0</v>
      </c>
    </row>
    <row r="116" spans="1:8" ht="31.5" hidden="1" outlineLevel="3">
      <c r="A116" s="11" t="s">
        <v>47</v>
      </c>
      <c r="B116" s="12" t="s">
        <v>84</v>
      </c>
      <c r="C116" s="12" t="s">
        <v>98</v>
      </c>
      <c r="D116" s="12" t="s">
        <v>106</v>
      </c>
      <c r="E116" s="12" t="s">
        <v>100</v>
      </c>
      <c r="F116" s="26">
        <f>6580-6580</f>
        <v>0</v>
      </c>
      <c r="G116" s="26">
        <f>6580-6580</f>
        <v>0</v>
      </c>
      <c r="H116" s="26">
        <f>6580-6580</f>
        <v>0</v>
      </c>
    </row>
    <row r="117" spans="1:8" hidden="1" outlineLevel="4">
      <c r="A117" s="11"/>
      <c r="B117" s="12"/>
      <c r="C117" s="12"/>
      <c r="D117" s="12"/>
      <c r="E117" s="12"/>
      <c r="F117" s="26"/>
      <c r="G117" s="26"/>
      <c r="H117" s="26"/>
    </row>
    <row r="118" spans="1:8" hidden="1" outlineLevel="4">
      <c r="A118" s="11"/>
      <c r="B118" s="12"/>
      <c r="C118" s="12"/>
      <c r="D118" s="12"/>
      <c r="E118" s="12"/>
      <c r="F118" s="26"/>
      <c r="G118" s="26"/>
      <c r="H118" s="26"/>
    </row>
    <row r="119" spans="1:8" ht="94.5" hidden="1" outlineLevel="2" collapsed="1">
      <c r="A119" s="11" t="s">
        <v>48</v>
      </c>
      <c r="B119" s="12" t="s">
        <v>85</v>
      </c>
      <c r="C119" s="12"/>
      <c r="D119" s="12"/>
      <c r="E119" s="12"/>
      <c r="F119" s="26">
        <f>F120</f>
        <v>0</v>
      </c>
      <c r="G119" s="26">
        <f t="shared" ref="G119:H119" si="27">G120</f>
        <v>0</v>
      </c>
      <c r="H119" s="26">
        <f t="shared" si="27"/>
        <v>0</v>
      </c>
    </row>
    <row r="120" spans="1:8" ht="31.5" hidden="1" outlineLevel="3">
      <c r="A120" s="11" t="s">
        <v>47</v>
      </c>
      <c r="B120" s="12" t="s">
        <v>85</v>
      </c>
      <c r="C120" s="12" t="s">
        <v>98</v>
      </c>
      <c r="D120" s="12" t="s">
        <v>106</v>
      </c>
      <c r="E120" s="12" t="s">
        <v>100</v>
      </c>
      <c r="F120" s="26">
        <f>2665-2665</f>
        <v>0</v>
      </c>
      <c r="G120" s="26">
        <f>2665-2665</f>
        <v>0</v>
      </c>
      <c r="H120" s="26">
        <f>2665-2665</f>
        <v>0</v>
      </c>
    </row>
    <row r="121" spans="1:8" hidden="1" outlineLevel="4">
      <c r="A121" s="11"/>
      <c r="B121" s="12"/>
      <c r="C121" s="12"/>
      <c r="D121" s="12"/>
      <c r="E121" s="12"/>
      <c r="F121" s="26"/>
      <c r="G121" s="26"/>
      <c r="H121" s="26"/>
    </row>
    <row r="122" spans="1:8" hidden="1" outlineLevel="2">
      <c r="A122" s="11"/>
      <c r="B122" s="12"/>
      <c r="C122" s="12"/>
      <c r="D122" s="12"/>
      <c r="E122" s="12"/>
      <c r="F122" s="26"/>
      <c r="G122" s="26"/>
      <c r="H122" s="26"/>
    </row>
    <row r="123" spans="1:8" ht="66" hidden="1" customHeight="1" outlineLevel="3">
      <c r="A123" s="11" t="s">
        <v>49</v>
      </c>
      <c r="B123" s="12" t="s">
        <v>86</v>
      </c>
      <c r="C123" s="12"/>
      <c r="D123" s="12"/>
      <c r="E123" s="12"/>
      <c r="F123" s="26">
        <f>F124</f>
        <v>0</v>
      </c>
      <c r="G123" s="26">
        <f t="shared" ref="G123:H123" si="28">G124</f>
        <v>0</v>
      </c>
      <c r="H123" s="26">
        <f t="shared" si="28"/>
        <v>0</v>
      </c>
    </row>
    <row r="124" spans="1:8" ht="18" hidden="1" customHeight="1" outlineLevel="4">
      <c r="A124" s="11" t="s">
        <v>18</v>
      </c>
      <c r="B124" s="12" t="s">
        <v>86</v>
      </c>
      <c r="C124" s="12" t="s">
        <v>95</v>
      </c>
      <c r="D124" s="12" t="s">
        <v>101</v>
      </c>
      <c r="E124" s="12" t="s">
        <v>107</v>
      </c>
      <c r="F124" s="26">
        <f>10-10</f>
        <v>0</v>
      </c>
      <c r="G124" s="26">
        <f>10-10</f>
        <v>0</v>
      </c>
      <c r="H124" s="26">
        <f>10-10</f>
        <v>0</v>
      </c>
    </row>
    <row r="125" spans="1:8" hidden="1" outlineLevel="3">
      <c r="A125" s="11"/>
      <c r="B125" s="12"/>
      <c r="C125" s="12"/>
      <c r="D125" s="12"/>
      <c r="E125" s="12"/>
      <c r="F125" s="26"/>
      <c r="G125" s="26"/>
      <c r="H125" s="26"/>
    </row>
    <row r="126" spans="1:8" hidden="1" outlineLevel="4">
      <c r="A126" s="11"/>
      <c r="B126" s="12"/>
      <c r="C126" s="12"/>
      <c r="D126" s="12"/>
      <c r="E126" s="12"/>
      <c r="F126" s="26"/>
      <c r="G126" s="26"/>
      <c r="H126" s="26"/>
    </row>
    <row r="127" spans="1:8" ht="63" hidden="1" outlineLevel="3" collapsed="1">
      <c r="A127" s="11" t="s">
        <v>50</v>
      </c>
      <c r="B127" s="12" t="s">
        <v>87</v>
      </c>
      <c r="C127" s="12"/>
      <c r="D127" s="12"/>
      <c r="E127" s="12"/>
      <c r="F127" s="26">
        <f>F128</f>
        <v>0</v>
      </c>
      <c r="G127" s="26">
        <f t="shared" ref="G127:H127" si="29">G128</f>
        <v>0</v>
      </c>
      <c r="H127" s="26">
        <f t="shared" si="29"/>
        <v>0</v>
      </c>
    </row>
    <row r="128" spans="1:8" ht="31.5" hidden="1" outlineLevel="4">
      <c r="A128" s="11" t="s">
        <v>47</v>
      </c>
      <c r="B128" s="12" t="s">
        <v>87</v>
      </c>
      <c r="C128" s="12" t="s">
        <v>98</v>
      </c>
      <c r="D128" s="12" t="s">
        <v>106</v>
      </c>
      <c r="E128" s="12" t="s">
        <v>100</v>
      </c>
      <c r="F128" s="26">
        <f>7030.3-7030.3</f>
        <v>0</v>
      </c>
      <c r="G128" s="26">
        <f>7030.3-7030.3</f>
        <v>0</v>
      </c>
      <c r="H128" s="26">
        <f>7030.3-7030.3</f>
        <v>0</v>
      </c>
    </row>
    <row r="129" spans="1:8" hidden="1" outlineLevel="3">
      <c r="A129" s="11"/>
      <c r="B129" s="12"/>
      <c r="C129" s="12"/>
      <c r="D129" s="12"/>
      <c r="E129" s="12"/>
      <c r="F129" s="26"/>
      <c r="G129" s="26"/>
      <c r="H129" s="26"/>
    </row>
    <row r="130" spans="1:8" hidden="1" outlineLevel="4">
      <c r="A130" s="11"/>
      <c r="B130" s="12"/>
      <c r="C130" s="12"/>
      <c r="D130" s="12"/>
      <c r="E130" s="12"/>
      <c r="F130" s="26"/>
      <c r="G130" s="26"/>
      <c r="H130" s="26"/>
    </row>
    <row r="131" spans="1:8" ht="63" hidden="1" outlineLevel="6">
      <c r="A131" s="11" t="s">
        <v>51</v>
      </c>
      <c r="B131" s="12" t="s">
        <v>88</v>
      </c>
      <c r="C131" s="12"/>
      <c r="D131" s="12"/>
      <c r="E131" s="12"/>
      <c r="F131" s="26">
        <f>F132</f>
        <v>0</v>
      </c>
      <c r="G131" s="26">
        <f t="shared" ref="G131:H131" si="30">G132</f>
        <v>0</v>
      </c>
      <c r="H131" s="26">
        <f t="shared" si="30"/>
        <v>0</v>
      </c>
    </row>
    <row r="132" spans="1:8" ht="31.5" hidden="1" outlineLevel="2">
      <c r="A132" s="11" t="s">
        <v>47</v>
      </c>
      <c r="B132" s="12" t="s">
        <v>88</v>
      </c>
      <c r="C132" s="12" t="s">
        <v>98</v>
      </c>
      <c r="D132" s="12" t="s">
        <v>106</v>
      </c>
      <c r="E132" s="12" t="s">
        <v>100</v>
      </c>
      <c r="F132" s="26">
        <f>529.7-529.7</f>
        <v>0</v>
      </c>
      <c r="G132" s="26">
        <f>529.7-529.7</f>
        <v>0</v>
      </c>
      <c r="H132" s="26">
        <f>529.7-529.7</f>
        <v>0</v>
      </c>
    </row>
    <row r="133" spans="1:8" hidden="1" outlineLevel="3">
      <c r="A133" s="11"/>
      <c r="B133" s="12"/>
      <c r="C133" s="12"/>
      <c r="D133" s="12"/>
      <c r="E133" s="12"/>
      <c r="F133" s="26"/>
      <c r="G133" s="26"/>
      <c r="H133" s="26"/>
    </row>
    <row r="134" spans="1:8" hidden="1" outlineLevel="4">
      <c r="A134" s="11"/>
      <c r="B134" s="12"/>
      <c r="C134" s="12"/>
      <c r="D134" s="12"/>
      <c r="E134" s="12"/>
      <c r="F134" s="26"/>
      <c r="G134" s="26"/>
      <c r="H134" s="26"/>
    </row>
    <row r="135" spans="1:8" ht="125.25" customHeight="1" outlineLevel="2" collapsed="1">
      <c r="A135" s="9" t="s">
        <v>52</v>
      </c>
      <c r="B135" s="10" t="s">
        <v>89</v>
      </c>
      <c r="C135" s="10"/>
      <c r="D135" s="10"/>
      <c r="E135" s="10"/>
      <c r="F135" s="25">
        <f>F136</f>
        <v>6307</v>
      </c>
      <c r="G135" s="25">
        <f t="shared" ref="G135:H135" si="31">G136</f>
        <v>27640.1</v>
      </c>
      <c r="H135" s="25">
        <f t="shared" si="31"/>
        <v>11708.3</v>
      </c>
    </row>
    <row r="136" spans="1:8" ht="47.25" outlineLevel="3">
      <c r="A136" s="11" t="s">
        <v>53</v>
      </c>
      <c r="B136" s="12" t="s">
        <v>90</v>
      </c>
      <c r="C136" s="12"/>
      <c r="D136" s="12"/>
      <c r="E136" s="12"/>
      <c r="F136" s="26">
        <f>F137+F141</f>
        <v>6307</v>
      </c>
      <c r="G136" s="26">
        <f t="shared" ref="G136:H136" si="32">G137+G141</f>
        <v>27640.1</v>
      </c>
      <c r="H136" s="26">
        <f t="shared" si="32"/>
        <v>11708.3</v>
      </c>
    </row>
    <row r="137" spans="1:8" ht="110.25" outlineLevel="4">
      <c r="A137" s="11" t="s">
        <v>54</v>
      </c>
      <c r="B137" s="12" t="s">
        <v>91</v>
      </c>
      <c r="C137" s="12"/>
      <c r="D137" s="12"/>
      <c r="E137" s="12"/>
      <c r="F137" s="26">
        <f>F138</f>
        <v>4377</v>
      </c>
      <c r="G137" s="26">
        <f t="shared" ref="G137:H137" si="33">G138</f>
        <v>21390.1</v>
      </c>
      <c r="H137" s="26">
        <f t="shared" si="33"/>
        <v>5458.3</v>
      </c>
    </row>
    <row r="138" spans="1:8" s="2" customFormat="1" ht="47.25">
      <c r="A138" s="11" t="s">
        <v>33</v>
      </c>
      <c r="B138" s="12" t="s">
        <v>91</v>
      </c>
      <c r="C138" s="12" t="s">
        <v>97</v>
      </c>
      <c r="D138" s="12" t="s">
        <v>99</v>
      </c>
      <c r="E138" s="12" t="s">
        <v>102</v>
      </c>
      <c r="F138" s="26">
        <v>4377</v>
      </c>
      <c r="G138" s="26">
        <v>21390.1</v>
      </c>
      <c r="H138" s="26">
        <v>5458.3</v>
      </c>
    </row>
    <row r="139" spans="1:8" s="3" customFormat="1" hidden="1" outlineLevel="1">
      <c r="A139" s="11"/>
      <c r="B139" s="12"/>
      <c r="C139" s="12"/>
      <c r="D139" s="12"/>
      <c r="E139" s="12"/>
      <c r="F139" s="26"/>
      <c r="G139" s="26"/>
      <c r="H139" s="26"/>
    </row>
    <row r="140" spans="1:8" hidden="1" outlineLevel="2">
      <c r="A140" s="11"/>
      <c r="B140" s="12"/>
      <c r="C140" s="12"/>
      <c r="D140" s="12"/>
      <c r="E140" s="12"/>
      <c r="F140" s="26"/>
      <c r="G140" s="26"/>
      <c r="H140" s="26"/>
    </row>
    <row r="141" spans="1:8" ht="110.25" outlineLevel="3">
      <c r="A141" s="11" t="s">
        <v>54</v>
      </c>
      <c r="B141" s="12" t="s">
        <v>92</v>
      </c>
      <c r="C141" s="12"/>
      <c r="D141" s="12"/>
      <c r="E141" s="12"/>
      <c r="F141" s="26">
        <f>F142+F145</f>
        <v>1930</v>
      </c>
      <c r="G141" s="26">
        <f t="shared" ref="G141:H141" si="34">G142+G145</f>
        <v>6250</v>
      </c>
      <c r="H141" s="26">
        <f t="shared" si="34"/>
        <v>6250</v>
      </c>
    </row>
    <row r="142" spans="1:8" ht="47.25" outlineLevel="4">
      <c r="A142" s="11" t="s">
        <v>33</v>
      </c>
      <c r="B142" s="12" t="s">
        <v>92</v>
      </c>
      <c r="C142" s="12" t="s">
        <v>97</v>
      </c>
      <c r="D142" s="12" t="s">
        <v>101</v>
      </c>
      <c r="E142" s="12" t="s">
        <v>105</v>
      </c>
      <c r="F142" s="26">
        <v>30</v>
      </c>
      <c r="G142" s="26">
        <v>4200</v>
      </c>
      <c r="H142" s="26">
        <v>2250</v>
      </c>
    </row>
    <row r="143" spans="1:8" hidden="1" outlineLevel="3">
      <c r="A143" s="11"/>
      <c r="B143" s="12"/>
      <c r="C143" s="12"/>
      <c r="D143" s="12"/>
      <c r="E143" s="12"/>
      <c r="F143" s="26"/>
      <c r="G143" s="26"/>
      <c r="H143" s="26"/>
    </row>
    <row r="144" spans="1:8" hidden="1" outlineLevel="4">
      <c r="A144" s="11"/>
      <c r="B144" s="12"/>
      <c r="C144" s="12"/>
      <c r="D144" s="12"/>
      <c r="E144" s="12"/>
      <c r="F144" s="26"/>
      <c r="G144" s="26"/>
      <c r="H144" s="26"/>
    </row>
    <row r="145" spans="1:8" ht="47.25" outlineLevel="2" collapsed="1">
      <c r="A145" s="11" t="s">
        <v>33</v>
      </c>
      <c r="B145" s="12" t="s">
        <v>92</v>
      </c>
      <c r="C145" s="12" t="s">
        <v>97</v>
      </c>
      <c r="D145" s="12" t="s">
        <v>99</v>
      </c>
      <c r="E145" s="12" t="s">
        <v>102</v>
      </c>
      <c r="F145" s="26">
        <f>1930-30</f>
        <v>1900</v>
      </c>
      <c r="G145" s="26">
        <v>2050</v>
      </c>
      <c r="H145" s="26">
        <v>4000</v>
      </c>
    </row>
    <row r="146" spans="1:8" ht="63" outlineLevel="2">
      <c r="A146" s="17" t="s">
        <v>553</v>
      </c>
      <c r="B146" s="10" t="s">
        <v>556</v>
      </c>
      <c r="C146" s="10"/>
      <c r="D146" s="10"/>
      <c r="E146" s="10"/>
      <c r="F146" s="25">
        <f>F147</f>
        <v>1550</v>
      </c>
      <c r="G146" s="25">
        <f t="shared" ref="G146:H148" si="35">G147</f>
        <v>0</v>
      </c>
      <c r="H146" s="25">
        <f t="shared" si="35"/>
        <v>0</v>
      </c>
    </row>
    <row r="147" spans="1:8" ht="63" outlineLevel="2">
      <c r="A147" s="16" t="s">
        <v>554</v>
      </c>
      <c r="B147" s="12" t="s">
        <v>556</v>
      </c>
      <c r="C147" s="12"/>
      <c r="D147" s="12"/>
      <c r="E147" s="12"/>
      <c r="F147" s="26">
        <f>F148</f>
        <v>1550</v>
      </c>
      <c r="G147" s="26">
        <f t="shared" si="35"/>
        <v>0</v>
      </c>
      <c r="H147" s="26">
        <f t="shared" si="35"/>
        <v>0</v>
      </c>
    </row>
    <row r="148" spans="1:8" ht="50.25" customHeight="1" outlineLevel="2">
      <c r="A148" s="16" t="s">
        <v>555</v>
      </c>
      <c r="B148" s="12" t="s">
        <v>557</v>
      </c>
      <c r="C148" s="12"/>
      <c r="D148" s="12"/>
      <c r="E148" s="12"/>
      <c r="F148" s="26">
        <f>F149</f>
        <v>1550</v>
      </c>
      <c r="G148" s="26">
        <f t="shared" si="35"/>
        <v>0</v>
      </c>
      <c r="H148" s="26">
        <f t="shared" si="35"/>
        <v>0</v>
      </c>
    </row>
    <row r="149" spans="1:8" ht="47.25" outlineLevel="2">
      <c r="A149" s="16" t="s">
        <v>16</v>
      </c>
      <c r="B149" s="12" t="s">
        <v>557</v>
      </c>
      <c r="C149" s="12" t="s">
        <v>94</v>
      </c>
      <c r="D149" s="12" t="s">
        <v>99</v>
      </c>
      <c r="E149" s="12" t="s">
        <v>102</v>
      </c>
      <c r="F149" s="26">
        <f>1050+500</f>
        <v>1550</v>
      </c>
      <c r="G149" s="26">
        <v>0</v>
      </c>
      <c r="H149" s="26">
        <v>0</v>
      </c>
    </row>
    <row r="150" spans="1:8" ht="63" outlineLevel="2">
      <c r="A150" s="17" t="s">
        <v>587</v>
      </c>
      <c r="B150" s="18" t="s">
        <v>591</v>
      </c>
      <c r="C150" s="10"/>
      <c r="D150" s="10"/>
      <c r="E150" s="10"/>
      <c r="F150" s="25">
        <f>F151</f>
        <v>16815</v>
      </c>
      <c r="G150" s="25">
        <f t="shared" ref="G150:H156" si="36">G151</f>
        <v>16815</v>
      </c>
      <c r="H150" s="25">
        <f t="shared" si="36"/>
        <v>16815</v>
      </c>
    </row>
    <row r="151" spans="1:8" ht="63" outlineLevel="2">
      <c r="A151" s="16" t="s">
        <v>588</v>
      </c>
      <c r="B151" s="19" t="s">
        <v>592</v>
      </c>
      <c r="C151" s="12"/>
      <c r="D151" s="12"/>
      <c r="E151" s="12"/>
      <c r="F151" s="26">
        <f>F156+F152+F154+F158+F160</f>
        <v>16815</v>
      </c>
      <c r="G151" s="26">
        <f>G156+G152+G154+G158+G160</f>
        <v>16815</v>
      </c>
      <c r="H151" s="26">
        <f>H156+H152+H154+H158+H160</f>
        <v>16815</v>
      </c>
    </row>
    <row r="152" spans="1:8" ht="63" outlineLevel="2">
      <c r="A152" s="16" t="s">
        <v>594</v>
      </c>
      <c r="B152" s="19" t="s">
        <v>596</v>
      </c>
      <c r="C152" s="12"/>
      <c r="D152" s="12"/>
      <c r="E152" s="12"/>
      <c r="F152" s="26">
        <f>F153</f>
        <v>6580</v>
      </c>
      <c r="G152" s="26">
        <f t="shared" ref="G152:H152" si="37">G153</f>
        <v>6580</v>
      </c>
      <c r="H152" s="26">
        <f t="shared" si="37"/>
        <v>6580</v>
      </c>
    </row>
    <row r="153" spans="1:8" ht="31.5" outlineLevel="2">
      <c r="A153" s="16" t="s">
        <v>595</v>
      </c>
      <c r="B153" s="19" t="s">
        <v>596</v>
      </c>
      <c r="C153" s="12" t="s">
        <v>98</v>
      </c>
      <c r="D153" s="12" t="s">
        <v>106</v>
      </c>
      <c r="E153" s="12" t="s">
        <v>100</v>
      </c>
      <c r="F153" s="26">
        <v>6580</v>
      </c>
      <c r="G153" s="26">
        <v>6580</v>
      </c>
      <c r="H153" s="26">
        <v>6580</v>
      </c>
    </row>
    <row r="154" spans="1:8" ht="96" customHeight="1" outlineLevel="2">
      <c r="A154" s="16" t="s">
        <v>597</v>
      </c>
      <c r="B154" s="19" t="s">
        <v>598</v>
      </c>
      <c r="C154" s="12"/>
      <c r="D154" s="12"/>
      <c r="E154" s="12"/>
      <c r="F154" s="26">
        <f>F155</f>
        <v>2665</v>
      </c>
      <c r="G154" s="26">
        <f t="shared" ref="G154:H154" si="38">G155</f>
        <v>2665</v>
      </c>
      <c r="H154" s="26">
        <f t="shared" si="38"/>
        <v>2665</v>
      </c>
    </row>
    <row r="155" spans="1:8" ht="31.5" outlineLevel="2">
      <c r="A155" s="16" t="s">
        <v>595</v>
      </c>
      <c r="B155" s="19" t="s">
        <v>598</v>
      </c>
      <c r="C155" s="12" t="s">
        <v>98</v>
      </c>
      <c r="D155" s="12" t="s">
        <v>106</v>
      </c>
      <c r="E155" s="12" t="s">
        <v>100</v>
      </c>
      <c r="F155" s="26">
        <v>2665</v>
      </c>
      <c r="G155" s="26">
        <v>2665</v>
      </c>
      <c r="H155" s="26">
        <v>2665</v>
      </c>
    </row>
    <row r="156" spans="1:8" ht="65.25" customHeight="1" outlineLevel="2">
      <c r="A156" s="16" t="s">
        <v>589</v>
      </c>
      <c r="B156" s="19" t="s">
        <v>593</v>
      </c>
      <c r="C156" s="12"/>
      <c r="D156" s="12"/>
      <c r="E156" s="12"/>
      <c r="F156" s="26">
        <f>F157</f>
        <v>10</v>
      </c>
      <c r="G156" s="26">
        <f t="shared" si="36"/>
        <v>10</v>
      </c>
      <c r="H156" s="26">
        <f t="shared" si="36"/>
        <v>10</v>
      </c>
    </row>
    <row r="157" spans="1:8" ht="18" customHeight="1" outlineLevel="2">
      <c r="A157" s="16" t="s">
        <v>590</v>
      </c>
      <c r="B157" s="19" t="s">
        <v>593</v>
      </c>
      <c r="C157" s="12" t="s">
        <v>95</v>
      </c>
      <c r="D157" s="12" t="s">
        <v>101</v>
      </c>
      <c r="E157" s="12" t="s">
        <v>107</v>
      </c>
      <c r="F157" s="26">
        <v>10</v>
      </c>
      <c r="G157" s="26">
        <v>10</v>
      </c>
      <c r="H157" s="26">
        <v>10</v>
      </c>
    </row>
    <row r="158" spans="1:8" ht="64.5" customHeight="1" outlineLevel="2">
      <c r="A158" s="16" t="s">
        <v>599</v>
      </c>
      <c r="B158" s="19" t="s">
        <v>601</v>
      </c>
      <c r="C158" s="12"/>
      <c r="D158" s="12"/>
      <c r="E158" s="12"/>
      <c r="F158" s="26">
        <f>F159</f>
        <v>7030.3</v>
      </c>
      <c r="G158" s="26">
        <f t="shared" ref="G158:H158" si="39">G159</f>
        <v>7030.3</v>
      </c>
      <c r="H158" s="26">
        <f t="shared" si="39"/>
        <v>7030.3</v>
      </c>
    </row>
    <row r="159" spans="1:8" ht="35.25" customHeight="1" outlineLevel="2">
      <c r="A159" s="16" t="s">
        <v>595</v>
      </c>
      <c r="B159" s="19" t="s">
        <v>601</v>
      </c>
      <c r="C159" s="12" t="s">
        <v>98</v>
      </c>
      <c r="D159" s="12" t="s">
        <v>106</v>
      </c>
      <c r="E159" s="12" t="s">
        <v>100</v>
      </c>
      <c r="F159" s="26">
        <v>7030.3</v>
      </c>
      <c r="G159" s="26">
        <v>7030.3</v>
      </c>
      <c r="H159" s="26">
        <v>7030.3</v>
      </c>
    </row>
    <row r="160" spans="1:8" ht="61.5" customHeight="1" outlineLevel="2">
      <c r="A160" s="16" t="s">
        <v>600</v>
      </c>
      <c r="B160" s="19" t="s">
        <v>602</v>
      </c>
      <c r="C160" s="12"/>
      <c r="D160" s="12"/>
      <c r="E160" s="12"/>
      <c r="F160" s="26">
        <f>F161</f>
        <v>529.70000000000005</v>
      </c>
      <c r="G160" s="26">
        <f t="shared" ref="G160:H160" si="40">G161</f>
        <v>529.70000000000005</v>
      </c>
      <c r="H160" s="26">
        <f t="shared" si="40"/>
        <v>529.70000000000005</v>
      </c>
    </row>
    <row r="161" spans="1:8" ht="33" customHeight="1" outlineLevel="2">
      <c r="A161" s="16" t="s">
        <v>595</v>
      </c>
      <c r="B161" s="19" t="s">
        <v>602</v>
      </c>
      <c r="C161" s="12" t="s">
        <v>98</v>
      </c>
      <c r="D161" s="12" t="s">
        <v>106</v>
      </c>
      <c r="E161" s="12" t="s">
        <v>100</v>
      </c>
      <c r="F161" s="26">
        <v>529.70000000000005</v>
      </c>
      <c r="G161" s="26">
        <v>529.70000000000005</v>
      </c>
      <c r="H161" s="26">
        <v>529.70000000000005</v>
      </c>
    </row>
    <row r="162" spans="1:8" ht="65.25" customHeight="1" outlineLevel="3">
      <c r="A162" s="7" t="s">
        <v>108</v>
      </c>
      <c r="B162" s="8" t="s">
        <v>128</v>
      </c>
      <c r="C162" s="8"/>
      <c r="D162" s="8"/>
      <c r="E162" s="8"/>
      <c r="F162" s="24">
        <f>F163+F169</f>
        <v>462.4</v>
      </c>
      <c r="G162" s="24">
        <f t="shared" ref="G162:H162" si="41">G163+G169</f>
        <v>412.4</v>
      </c>
      <c r="H162" s="24">
        <f t="shared" si="41"/>
        <v>412.4</v>
      </c>
    </row>
    <row r="163" spans="1:8" ht="64.5" customHeight="1" outlineLevel="4">
      <c r="A163" s="11" t="s">
        <v>109</v>
      </c>
      <c r="B163" s="12" t="s">
        <v>129</v>
      </c>
      <c r="C163" s="12"/>
      <c r="D163" s="12"/>
      <c r="E163" s="12"/>
      <c r="F163" s="26">
        <f>F164+F167</f>
        <v>20.399999999999999</v>
      </c>
      <c r="G163" s="26">
        <f t="shared" ref="G163:H163" si="42">G164+G167</f>
        <v>20.399999999999999</v>
      </c>
      <c r="H163" s="26">
        <f t="shared" si="42"/>
        <v>20.399999999999999</v>
      </c>
    </row>
    <row r="164" spans="1:8" ht="63" outlineLevel="3">
      <c r="A164" s="11" t="s">
        <v>110</v>
      </c>
      <c r="B164" s="12" t="s">
        <v>130</v>
      </c>
      <c r="C164" s="12"/>
      <c r="D164" s="12"/>
      <c r="E164" s="12"/>
      <c r="F164" s="26">
        <f>F165+F166</f>
        <v>16.399999999999999</v>
      </c>
      <c r="G164" s="26">
        <f t="shared" ref="G164:H164" si="43">G165+G166</f>
        <v>16.399999999999999</v>
      </c>
      <c r="H164" s="26">
        <f t="shared" si="43"/>
        <v>16.399999999999999</v>
      </c>
    </row>
    <row r="165" spans="1:8" ht="47.25" outlineLevel="4">
      <c r="A165" s="11" t="s">
        <v>16</v>
      </c>
      <c r="B165" s="12" t="s">
        <v>130</v>
      </c>
      <c r="C165" s="12" t="s">
        <v>94</v>
      </c>
      <c r="D165" s="12" t="s">
        <v>152</v>
      </c>
      <c r="E165" s="12" t="s">
        <v>152</v>
      </c>
      <c r="F165" s="26">
        <v>3</v>
      </c>
      <c r="G165" s="26">
        <v>3</v>
      </c>
      <c r="H165" s="26">
        <v>3</v>
      </c>
    </row>
    <row r="166" spans="1:8" ht="48" customHeight="1" outlineLevel="2">
      <c r="A166" s="11" t="s">
        <v>22</v>
      </c>
      <c r="B166" s="12" t="s">
        <v>130</v>
      </c>
      <c r="C166" s="12" t="s">
        <v>96</v>
      </c>
      <c r="D166" s="12" t="s">
        <v>152</v>
      </c>
      <c r="E166" s="12" t="s">
        <v>100</v>
      </c>
      <c r="F166" s="26">
        <v>13.4</v>
      </c>
      <c r="G166" s="26">
        <v>13.4</v>
      </c>
      <c r="H166" s="26">
        <v>13.4</v>
      </c>
    </row>
    <row r="167" spans="1:8" ht="47.25" outlineLevel="3">
      <c r="A167" s="11" t="s">
        <v>111</v>
      </c>
      <c r="B167" s="12" t="s">
        <v>131</v>
      </c>
      <c r="C167" s="12"/>
      <c r="D167" s="12"/>
      <c r="E167" s="12"/>
      <c r="F167" s="26">
        <f>F168</f>
        <v>4</v>
      </c>
      <c r="G167" s="26">
        <f t="shared" ref="G167:H167" si="44">G168</f>
        <v>4</v>
      </c>
      <c r="H167" s="26">
        <f t="shared" si="44"/>
        <v>4</v>
      </c>
    </row>
    <row r="168" spans="1:8" ht="47.25" customHeight="1" outlineLevel="4">
      <c r="A168" s="11" t="s">
        <v>22</v>
      </c>
      <c r="B168" s="12" t="s">
        <v>131</v>
      </c>
      <c r="C168" s="12" t="s">
        <v>96</v>
      </c>
      <c r="D168" s="12" t="s">
        <v>153</v>
      </c>
      <c r="E168" s="12" t="s">
        <v>104</v>
      </c>
      <c r="F168" s="26">
        <v>4</v>
      </c>
      <c r="G168" s="26">
        <v>4</v>
      </c>
      <c r="H168" s="26">
        <v>4</v>
      </c>
    </row>
    <row r="169" spans="1:8" ht="63" outlineLevel="3">
      <c r="A169" s="11" t="s">
        <v>112</v>
      </c>
      <c r="B169" s="12" t="s">
        <v>132</v>
      </c>
      <c r="C169" s="12"/>
      <c r="D169" s="12"/>
      <c r="E169" s="12"/>
      <c r="F169" s="26">
        <f>F170</f>
        <v>442</v>
      </c>
      <c r="G169" s="26">
        <f t="shared" ref="G169:H169" si="45">G170</f>
        <v>392</v>
      </c>
      <c r="H169" s="26">
        <f t="shared" si="45"/>
        <v>392</v>
      </c>
    </row>
    <row r="170" spans="1:8" ht="31.5" outlineLevel="4">
      <c r="A170" s="11" t="s">
        <v>113</v>
      </c>
      <c r="B170" s="12" t="s">
        <v>133</v>
      </c>
      <c r="C170" s="12"/>
      <c r="D170" s="12"/>
      <c r="E170" s="12"/>
      <c r="F170" s="26">
        <f>F171+F172</f>
        <v>442</v>
      </c>
      <c r="G170" s="26">
        <f t="shared" ref="G170:H170" si="46">G171+G172</f>
        <v>392</v>
      </c>
      <c r="H170" s="26">
        <f t="shared" si="46"/>
        <v>392</v>
      </c>
    </row>
    <row r="171" spans="1:8" ht="45.75" customHeight="1" outlineLevel="3">
      <c r="A171" s="11" t="s">
        <v>22</v>
      </c>
      <c r="B171" s="12" t="s">
        <v>133</v>
      </c>
      <c r="C171" s="12" t="s">
        <v>96</v>
      </c>
      <c r="D171" s="12" t="s">
        <v>152</v>
      </c>
      <c r="E171" s="12" t="s">
        <v>100</v>
      </c>
      <c r="F171" s="26">
        <v>242</v>
      </c>
      <c r="G171" s="26">
        <v>242</v>
      </c>
      <c r="H171" s="26">
        <v>242</v>
      </c>
    </row>
    <row r="172" spans="1:8" ht="52.5" customHeight="1" outlineLevel="4">
      <c r="A172" s="11" t="s">
        <v>22</v>
      </c>
      <c r="B172" s="12" t="s">
        <v>133</v>
      </c>
      <c r="C172" s="12" t="s">
        <v>96</v>
      </c>
      <c r="D172" s="12" t="s">
        <v>107</v>
      </c>
      <c r="E172" s="12" t="s">
        <v>104</v>
      </c>
      <c r="F172" s="26">
        <v>200</v>
      </c>
      <c r="G172" s="26">
        <v>150</v>
      </c>
      <c r="H172" s="26">
        <v>150</v>
      </c>
    </row>
    <row r="173" spans="1:8" s="2" customFormat="1" hidden="1">
      <c r="A173" s="11"/>
      <c r="B173" s="12"/>
      <c r="C173" s="12"/>
      <c r="D173" s="12"/>
      <c r="E173" s="12"/>
      <c r="F173" s="26"/>
      <c r="G173" s="26"/>
      <c r="H173" s="26"/>
    </row>
    <row r="174" spans="1:8" s="3" customFormat="1" hidden="1" outlineLevel="1">
      <c r="A174" s="11"/>
      <c r="B174" s="12"/>
      <c r="C174" s="12"/>
      <c r="D174" s="12"/>
      <c r="E174" s="12"/>
      <c r="F174" s="26"/>
      <c r="G174" s="26"/>
      <c r="H174" s="26"/>
    </row>
    <row r="175" spans="1:8" hidden="1" outlineLevel="2">
      <c r="A175" s="11"/>
      <c r="B175" s="12"/>
      <c r="C175" s="12"/>
      <c r="D175" s="12"/>
      <c r="E175" s="12"/>
      <c r="F175" s="26"/>
      <c r="G175" s="26"/>
      <c r="H175" s="26"/>
    </row>
    <row r="176" spans="1:8" ht="47.25" outlineLevel="3">
      <c r="A176" s="7" t="s">
        <v>114</v>
      </c>
      <c r="B176" s="8" t="s">
        <v>134</v>
      </c>
      <c r="C176" s="8"/>
      <c r="D176" s="8"/>
      <c r="E176" s="8"/>
      <c r="F176" s="24">
        <f>F177+F188+F201+F211+F223+F226</f>
        <v>168963</v>
      </c>
      <c r="G176" s="24">
        <f>G177+G188+G201+G211+G223+G226</f>
        <v>143417.29999999999</v>
      </c>
      <c r="H176" s="24">
        <f>H177+H188+H201+H211+H223+H226</f>
        <v>140533.20000000001</v>
      </c>
    </row>
    <row r="177" spans="1:8" ht="47.25" outlineLevel="4">
      <c r="A177" s="11" t="s">
        <v>13</v>
      </c>
      <c r="B177" s="12" t="s">
        <v>135</v>
      </c>
      <c r="C177" s="12"/>
      <c r="D177" s="12"/>
      <c r="E177" s="12"/>
      <c r="F177" s="26">
        <f>F178+F181+F183</f>
        <v>4930</v>
      </c>
      <c r="G177" s="26">
        <f t="shared" ref="G177:H177" si="47">G178+G181+G183</f>
        <v>4930</v>
      </c>
      <c r="H177" s="26">
        <f t="shared" si="47"/>
        <v>4930</v>
      </c>
    </row>
    <row r="178" spans="1:8" ht="32.25" customHeight="1" outlineLevel="4">
      <c r="A178" s="11" t="s">
        <v>14</v>
      </c>
      <c r="B178" s="12" t="s">
        <v>136</v>
      </c>
      <c r="C178" s="12"/>
      <c r="D178" s="12"/>
      <c r="E178" s="12"/>
      <c r="F178" s="26">
        <f>F179+F180</f>
        <v>2472.8000000000002</v>
      </c>
      <c r="G178" s="26">
        <f t="shared" ref="G178:H178" si="48">G179+G180</f>
        <v>2472.8000000000002</v>
      </c>
      <c r="H178" s="26">
        <f t="shared" si="48"/>
        <v>2472.8000000000002</v>
      </c>
    </row>
    <row r="179" spans="1:8" ht="93" customHeight="1" outlineLevel="2">
      <c r="A179" s="11" t="s">
        <v>15</v>
      </c>
      <c r="B179" s="12" t="s">
        <v>136</v>
      </c>
      <c r="C179" s="12" t="s">
        <v>93</v>
      </c>
      <c r="D179" s="12" t="s">
        <v>153</v>
      </c>
      <c r="E179" s="12" t="s">
        <v>99</v>
      </c>
      <c r="F179" s="26">
        <v>2450</v>
      </c>
      <c r="G179" s="26">
        <v>2450</v>
      </c>
      <c r="H179" s="26">
        <v>2450</v>
      </c>
    </row>
    <row r="180" spans="1:8" s="3" customFormat="1" ht="47.25" outlineLevel="1">
      <c r="A180" s="11" t="s">
        <v>16</v>
      </c>
      <c r="B180" s="12" t="s">
        <v>136</v>
      </c>
      <c r="C180" s="12" t="s">
        <v>94</v>
      </c>
      <c r="D180" s="12" t="s">
        <v>153</v>
      </c>
      <c r="E180" s="12" t="s">
        <v>99</v>
      </c>
      <c r="F180" s="26">
        <v>22.8</v>
      </c>
      <c r="G180" s="26">
        <v>22.8</v>
      </c>
      <c r="H180" s="26">
        <v>22.8</v>
      </c>
    </row>
    <row r="181" spans="1:8" ht="47.25" outlineLevel="4">
      <c r="A181" s="11" t="s">
        <v>115</v>
      </c>
      <c r="B181" s="12" t="s">
        <v>137</v>
      </c>
      <c r="C181" s="12"/>
      <c r="D181" s="12"/>
      <c r="E181" s="12"/>
      <c r="F181" s="26">
        <f>F182</f>
        <v>6</v>
      </c>
      <c r="G181" s="26">
        <f t="shared" ref="G181:H181" si="49">G182</f>
        <v>6</v>
      </c>
      <c r="H181" s="26">
        <f t="shared" si="49"/>
        <v>6</v>
      </c>
    </row>
    <row r="182" spans="1:8" s="3" customFormat="1" ht="31.5" outlineLevel="1">
      <c r="A182" s="11" t="s">
        <v>47</v>
      </c>
      <c r="B182" s="12" t="s">
        <v>137</v>
      </c>
      <c r="C182" s="12" t="s">
        <v>98</v>
      </c>
      <c r="D182" s="12" t="s">
        <v>106</v>
      </c>
      <c r="E182" s="12" t="s">
        <v>100</v>
      </c>
      <c r="F182" s="26">
        <v>6</v>
      </c>
      <c r="G182" s="26">
        <v>6</v>
      </c>
      <c r="H182" s="26">
        <v>6</v>
      </c>
    </row>
    <row r="183" spans="1:8" ht="30.75" customHeight="1" outlineLevel="4">
      <c r="A183" s="11" t="s">
        <v>19</v>
      </c>
      <c r="B183" s="12" t="s">
        <v>138</v>
      </c>
      <c r="C183" s="12"/>
      <c r="D183" s="12"/>
      <c r="E183" s="12"/>
      <c r="F183" s="26">
        <f>F184+F185</f>
        <v>2451.2000000000003</v>
      </c>
      <c r="G183" s="26">
        <f t="shared" ref="G183:H183" si="50">G184+G185</f>
        <v>2451.2000000000003</v>
      </c>
      <c r="H183" s="26">
        <f t="shared" si="50"/>
        <v>2451.2000000000003</v>
      </c>
    </row>
    <row r="184" spans="1:8" ht="93.75" customHeight="1" outlineLevel="6">
      <c r="A184" s="11" t="s">
        <v>15</v>
      </c>
      <c r="B184" s="12" t="s">
        <v>138</v>
      </c>
      <c r="C184" s="12" t="s">
        <v>93</v>
      </c>
      <c r="D184" s="12" t="s">
        <v>153</v>
      </c>
      <c r="E184" s="12" t="s">
        <v>99</v>
      </c>
      <c r="F184" s="26">
        <v>2312.4</v>
      </c>
      <c r="G184" s="26">
        <v>2312.4</v>
      </c>
      <c r="H184" s="26">
        <v>2312.4</v>
      </c>
    </row>
    <row r="185" spans="1:8" s="3" customFormat="1" ht="47.25" outlineLevel="1">
      <c r="A185" s="11" t="s">
        <v>16</v>
      </c>
      <c r="B185" s="12" t="s">
        <v>138</v>
      </c>
      <c r="C185" s="12" t="s">
        <v>94</v>
      </c>
      <c r="D185" s="12" t="s">
        <v>153</v>
      </c>
      <c r="E185" s="12" t="s">
        <v>99</v>
      </c>
      <c r="F185" s="26">
        <v>138.80000000000001</v>
      </c>
      <c r="G185" s="26">
        <v>138.80000000000001</v>
      </c>
      <c r="H185" s="26">
        <v>138.80000000000001</v>
      </c>
    </row>
    <row r="186" spans="1:8" hidden="1" outlineLevel="2">
      <c r="A186" s="11"/>
      <c r="B186" s="12"/>
      <c r="C186" s="12"/>
      <c r="D186" s="12"/>
      <c r="E186" s="12"/>
      <c r="F186" s="26"/>
      <c r="G186" s="26"/>
      <c r="H186" s="26"/>
    </row>
    <row r="187" spans="1:8" hidden="1" outlineLevel="3">
      <c r="A187" s="11"/>
      <c r="B187" s="12"/>
      <c r="C187" s="12"/>
      <c r="D187" s="12"/>
      <c r="E187" s="12"/>
      <c r="F187" s="26"/>
      <c r="G187" s="26"/>
      <c r="H187" s="26"/>
    </row>
    <row r="188" spans="1:8" ht="47.25" outlineLevel="4">
      <c r="A188" s="11" t="s">
        <v>116</v>
      </c>
      <c r="B188" s="12" t="s">
        <v>139</v>
      </c>
      <c r="C188" s="12"/>
      <c r="D188" s="12"/>
      <c r="E188" s="12"/>
      <c r="F188" s="26">
        <f>F189+F193+F199+F191+F197</f>
        <v>117803.66100000001</v>
      </c>
      <c r="G188" s="26">
        <f>G189+G193+G199+G197</f>
        <v>113719.6</v>
      </c>
      <c r="H188" s="26">
        <f>H189+H193+H199+H197</f>
        <v>116235.5</v>
      </c>
    </row>
    <row r="189" spans="1:8" ht="63" outlineLevel="3">
      <c r="A189" s="11" t="s">
        <v>117</v>
      </c>
      <c r="B189" s="12" t="s">
        <v>140</v>
      </c>
      <c r="C189" s="12"/>
      <c r="D189" s="12"/>
      <c r="E189" s="12"/>
      <c r="F189" s="26">
        <f>F190</f>
        <v>2381</v>
      </c>
      <c r="G189" s="26">
        <f t="shared" ref="G189:H189" si="51">G190</f>
        <v>2381</v>
      </c>
      <c r="H189" s="26">
        <f t="shared" si="51"/>
        <v>2381</v>
      </c>
    </row>
    <row r="190" spans="1:8" ht="46.5" customHeight="1" outlineLevel="4">
      <c r="A190" s="11" t="s">
        <v>22</v>
      </c>
      <c r="B190" s="12" t="s">
        <v>140</v>
      </c>
      <c r="C190" s="12" t="s">
        <v>96</v>
      </c>
      <c r="D190" s="12" t="s">
        <v>153</v>
      </c>
      <c r="E190" s="12" t="s">
        <v>102</v>
      </c>
      <c r="F190" s="26">
        <v>2381</v>
      </c>
      <c r="G190" s="26">
        <v>2381</v>
      </c>
      <c r="H190" s="26">
        <v>2381</v>
      </c>
    </row>
    <row r="191" spans="1:8" ht="49.5" customHeight="1" outlineLevel="4">
      <c r="A191" s="11" t="s">
        <v>559</v>
      </c>
      <c r="B191" s="12" t="s">
        <v>558</v>
      </c>
      <c r="C191" s="12"/>
      <c r="D191" s="12"/>
      <c r="E191" s="12"/>
      <c r="F191" s="26">
        <f>F192</f>
        <v>7872.3</v>
      </c>
      <c r="G191" s="26">
        <f t="shared" ref="G191:H191" si="52">G192</f>
        <v>0</v>
      </c>
      <c r="H191" s="26">
        <f t="shared" si="52"/>
        <v>0</v>
      </c>
    </row>
    <row r="192" spans="1:8" ht="46.5" customHeight="1" outlineLevel="4">
      <c r="A192" s="11" t="s">
        <v>22</v>
      </c>
      <c r="B192" s="12" t="s">
        <v>558</v>
      </c>
      <c r="C192" s="12" t="s">
        <v>96</v>
      </c>
      <c r="D192" s="12" t="s">
        <v>153</v>
      </c>
      <c r="E192" s="12" t="s">
        <v>100</v>
      </c>
      <c r="F192" s="26">
        <v>7872.3</v>
      </c>
      <c r="G192" s="26">
        <v>0</v>
      </c>
      <c r="H192" s="26">
        <v>0</v>
      </c>
    </row>
    <row r="193" spans="1:8" ht="63" outlineLevel="3">
      <c r="A193" s="11" t="s">
        <v>117</v>
      </c>
      <c r="B193" s="12" t="s">
        <v>141</v>
      </c>
      <c r="C193" s="12"/>
      <c r="D193" s="12"/>
      <c r="E193" s="12"/>
      <c r="F193" s="26">
        <f>F194</f>
        <v>125.3</v>
      </c>
      <c r="G193" s="26">
        <f t="shared" ref="G193:H193" si="53">G194</f>
        <v>126</v>
      </c>
      <c r="H193" s="26">
        <f t="shared" si="53"/>
        <v>126</v>
      </c>
    </row>
    <row r="194" spans="1:8" ht="46.5" customHeight="1" outlineLevel="4">
      <c r="A194" s="11" t="s">
        <v>22</v>
      </c>
      <c r="B194" s="12" t="s">
        <v>141</v>
      </c>
      <c r="C194" s="12" t="s">
        <v>96</v>
      </c>
      <c r="D194" s="12" t="s">
        <v>153</v>
      </c>
      <c r="E194" s="12" t="s">
        <v>102</v>
      </c>
      <c r="F194" s="26">
        <f>126-0.7</f>
        <v>125.3</v>
      </c>
      <c r="G194" s="26">
        <v>126</v>
      </c>
      <c r="H194" s="26">
        <v>126</v>
      </c>
    </row>
    <row r="195" spans="1:8" hidden="1" outlineLevel="4">
      <c r="A195" s="11"/>
      <c r="B195" s="12"/>
      <c r="C195" s="12"/>
      <c r="D195" s="12"/>
      <c r="E195" s="12"/>
      <c r="F195" s="26"/>
      <c r="G195" s="26"/>
      <c r="H195" s="26"/>
    </row>
    <row r="196" spans="1:8" hidden="1" outlineLevel="3">
      <c r="A196" s="11"/>
      <c r="B196" s="12"/>
      <c r="C196" s="12"/>
      <c r="D196" s="12"/>
      <c r="E196" s="12"/>
      <c r="F196" s="26"/>
      <c r="G196" s="26"/>
      <c r="H196" s="26"/>
    </row>
    <row r="197" spans="1:8" ht="47.25" outlineLevel="3">
      <c r="A197" s="11" t="s">
        <v>572</v>
      </c>
      <c r="B197" s="12" t="s">
        <v>564</v>
      </c>
      <c r="C197" s="12"/>
      <c r="D197" s="12"/>
      <c r="E197" s="12"/>
      <c r="F197" s="26">
        <f>F198</f>
        <v>414.33199999999999</v>
      </c>
      <c r="G197" s="26">
        <f t="shared" ref="G197:H197" si="54">G198</f>
        <v>0</v>
      </c>
      <c r="H197" s="26">
        <f t="shared" si="54"/>
        <v>0</v>
      </c>
    </row>
    <row r="198" spans="1:8" ht="51.75" customHeight="1" outlineLevel="3">
      <c r="A198" s="11" t="s">
        <v>22</v>
      </c>
      <c r="B198" s="12" t="s">
        <v>564</v>
      </c>
      <c r="C198" s="12" t="s">
        <v>96</v>
      </c>
      <c r="D198" s="12" t="s">
        <v>153</v>
      </c>
      <c r="E198" s="12" t="s">
        <v>100</v>
      </c>
      <c r="F198" s="26">
        <v>414.33199999999999</v>
      </c>
      <c r="G198" s="26">
        <v>0</v>
      </c>
      <c r="H198" s="26">
        <v>0</v>
      </c>
    </row>
    <row r="199" spans="1:8" ht="47.25" outlineLevel="4">
      <c r="A199" s="11" t="s">
        <v>118</v>
      </c>
      <c r="B199" s="12" t="s">
        <v>142</v>
      </c>
      <c r="C199" s="12"/>
      <c r="D199" s="12"/>
      <c r="E199" s="12"/>
      <c r="F199" s="26">
        <f>F200</f>
        <v>107010.72900000001</v>
      </c>
      <c r="G199" s="26">
        <f t="shared" ref="G199:H199" si="55">G200</f>
        <v>111212.6</v>
      </c>
      <c r="H199" s="26">
        <f t="shared" si="55"/>
        <v>113728.5</v>
      </c>
    </row>
    <row r="200" spans="1:8" ht="45" customHeight="1" outlineLevel="4">
      <c r="A200" s="11" t="s">
        <v>22</v>
      </c>
      <c r="B200" s="12" t="s">
        <v>142</v>
      </c>
      <c r="C200" s="12" t="s">
        <v>96</v>
      </c>
      <c r="D200" s="12" t="s">
        <v>153</v>
      </c>
      <c r="E200" s="12" t="s">
        <v>104</v>
      </c>
      <c r="F200" s="26">
        <f>111103.6-587.871-1284-14700+14679-2200</f>
        <v>107010.72900000001</v>
      </c>
      <c r="G200" s="26">
        <v>111212.6</v>
      </c>
      <c r="H200" s="26">
        <v>113728.5</v>
      </c>
    </row>
    <row r="201" spans="1:8" ht="93.75" customHeight="1" outlineLevel="3">
      <c r="A201" s="11" t="s">
        <v>119</v>
      </c>
      <c r="B201" s="12" t="s">
        <v>143</v>
      </c>
      <c r="C201" s="12"/>
      <c r="D201" s="12"/>
      <c r="E201" s="12"/>
      <c r="F201" s="26">
        <f>F202+F206+F208</f>
        <v>2177.3999999999996</v>
      </c>
      <c r="G201" s="26">
        <f t="shared" ref="G201:H201" si="56">G202+G206+G208</f>
        <v>2142.6999999999998</v>
      </c>
      <c r="H201" s="26">
        <f t="shared" si="56"/>
        <v>2142.6999999999998</v>
      </c>
    </row>
    <row r="202" spans="1:8" ht="47.25" outlineLevel="4">
      <c r="A202" s="11" t="s">
        <v>120</v>
      </c>
      <c r="B202" s="12" t="s">
        <v>144</v>
      </c>
      <c r="C202" s="12"/>
      <c r="D202" s="12"/>
      <c r="E202" s="12"/>
      <c r="F202" s="26">
        <f>F203</f>
        <v>20</v>
      </c>
      <c r="G202" s="26">
        <f t="shared" ref="G202:H202" si="57">G203</f>
        <v>20</v>
      </c>
      <c r="H202" s="26">
        <f t="shared" si="57"/>
        <v>20</v>
      </c>
    </row>
    <row r="203" spans="1:8" ht="63" outlineLevel="3">
      <c r="A203" s="11" t="s">
        <v>22</v>
      </c>
      <c r="B203" s="12" t="s">
        <v>144</v>
      </c>
      <c r="C203" s="12" t="s">
        <v>96</v>
      </c>
      <c r="D203" s="12" t="s">
        <v>153</v>
      </c>
      <c r="E203" s="12" t="s">
        <v>104</v>
      </c>
      <c r="F203" s="26">
        <v>20</v>
      </c>
      <c r="G203" s="26">
        <v>20</v>
      </c>
      <c r="H203" s="26">
        <v>20</v>
      </c>
    </row>
    <row r="204" spans="1:8" hidden="1" outlineLevel="4">
      <c r="A204" s="11"/>
      <c r="B204" s="12"/>
      <c r="C204" s="12"/>
      <c r="D204" s="12"/>
      <c r="E204" s="12"/>
      <c r="F204" s="26"/>
      <c r="G204" s="26"/>
      <c r="H204" s="26"/>
    </row>
    <row r="205" spans="1:8" hidden="1" outlineLevel="3">
      <c r="A205" s="11"/>
      <c r="B205" s="12"/>
      <c r="C205" s="12"/>
      <c r="D205" s="12"/>
      <c r="E205" s="12"/>
      <c r="F205" s="26"/>
      <c r="G205" s="26"/>
      <c r="H205" s="26"/>
    </row>
    <row r="206" spans="1:8" ht="63" outlineLevel="4">
      <c r="A206" s="11" t="s">
        <v>121</v>
      </c>
      <c r="B206" s="12" t="s">
        <v>145</v>
      </c>
      <c r="C206" s="12"/>
      <c r="D206" s="12"/>
      <c r="E206" s="12"/>
      <c r="F206" s="26">
        <f>F207</f>
        <v>40</v>
      </c>
      <c r="G206" s="26">
        <f t="shared" ref="G206:H206" si="58">G207</f>
        <v>40</v>
      </c>
      <c r="H206" s="26">
        <f t="shared" si="58"/>
        <v>40</v>
      </c>
    </row>
    <row r="207" spans="1:8" ht="48.75" customHeight="1" outlineLevel="2">
      <c r="A207" s="11" t="s">
        <v>22</v>
      </c>
      <c r="B207" s="12" t="s">
        <v>145</v>
      </c>
      <c r="C207" s="12" t="s">
        <v>96</v>
      </c>
      <c r="D207" s="12" t="s">
        <v>153</v>
      </c>
      <c r="E207" s="12" t="s">
        <v>104</v>
      </c>
      <c r="F207" s="26">
        <v>40</v>
      </c>
      <c r="G207" s="26">
        <v>40</v>
      </c>
      <c r="H207" s="26">
        <v>40</v>
      </c>
    </row>
    <row r="208" spans="1:8" ht="47.25" outlineLevel="3">
      <c r="A208" s="11" t="s">
        <v>122</v>
      </c>
      <c r="B208" s="12" t="s">
        <v>146</v>
      </c>
      <c r="C208" s="12"/>
      <c r="D208" s="12"/>
      <c r="E208" s="12"/>
      <c r="F208" s="26">
        <f>F209+F210</f>
        <v>2117.3999999999996</v>
      </c>
      <c r="G208" s="26">
        <f t="shared" ref="G208:H208" si="59">G209+G210</f>
        <v>2082.6999999999998</v>
      </c>
      <c r="H208" s="26">
        <f t="shared" si="59"/>
        <v>2082.6999999999998</v>
      </c>
    </row>
    <row r="209" spans="1:8" ht="46.5" customHeight="1" outlineLevel="4">
      <c r="A209" s="11" t="s">
        <v>22</v>
      </c>
      <c r="B209" s="12" t="s">
        <v>146</v>
      </c>
      <c r="C209" s="12" t="s">
        <v>96</v>
      </c>
      <c r="D209" s="12" t="s">
        <v>153</v>
      </c>
      <c r="E209" s="12" t="s">
        <v>104</v>
      </c>
      <c r="F209" s="26">
        <f>419.2+86.6+100</f>
        <v>605.79999999999995</v>
      </c>
      <c r="G209" s="26">
        <v>419.2</v>
      </c>
      <c r="H209" s="26">
        <v>419.2</v>
      </c>
    </row>
    <row r="210" spans="1:8" ht="46.5" customHeight="1" outlineLevel="3">
      <c r="A210" s="11" t="s">
        <v>22</v>
      </c>
      <c r="B210" s="12" t="s">
        <v>146</v>
      </c>
      <c r="C210" s="12" t="s">
        <v>96</v>
      </c>
      <c r="D210" s="12" t="s">
        <v>153</v>
      </c>
      <c r="E210" s="12" t="s">
        <v>102</v>
      </c>
      <c r="F210" s="26">
        <f>1663.5-151.9</f>
        <v>1511.6</v>
      </c>
      <c r="G210" s="26">
        <v>1663.5</v>
      </c>
      <c r="H210" s="26">
        <v>1663.5</v>
      </c>
    </row>
    <row r="211" spans="1:8" ht="47.25" outlineLevel="4">
      <c r="A211" s="11" t="s">
        <v>123</v>
      </c>
      <c r="B211" s="12" t="s">
        <v>147</v>
      </c>
      <c r="C211" s="12"/>
      <c r="D211" s="12"/>
      <c r="E211" s="12"/>
      <c r="F211" s="26">
        <f>F217+F219+F212+F214</f>
        <v>18150</v>
      </c>
      <c r="G211" s="26">
        <f>G217+G219+G212+G214</f>
        <v>5400</v>
      </c>
      <c r="H211" s="26">
        <f>H217+H219+H212+H214</f>
        <v>0</v>
      </c>
    </row>
    <row r="212" spans="1:8" ht="33.75" customHeight="1" outlineLevel="4">
      <c r="A212" s="16" t="s">
        <v>571</v>
      </c>
      <c r="B212" s="12" t="s">
        <v>570</v>
      </c>
      <c r="C212" s="12"/>
      <c r="D212" s="12"/>
      <c r="E212" s="12"/>
      <c r="F212" s="26">
        <f>F213</f>
        <v>3150</v>
      </c>
      <c r="G212" s="26">
        <f t="shared" ref="G212:H212" si="60">G213</f>
        <v>0</v>
      </c>
      <c r="H212" s="26">
        <f t="shared" si="60"/>
        <v>0</v>
      </c>
    </row>
    <row r="213" spans="1:8" ht="50.25" customHeight="1" outlineLevel="4">
      <c r="A213" s="11" t="s">
        <v>22</v>
      </c>
      <c r="B213" s="12" t="s">
        <v>570</v>
      </c>
      <c r="C213" s="12" t="s">
        <v>96</v>
      </c>
      <c r="D213" s="12" t="s">
        <v>153</v>
      </c>
      <c r="E213" s="12" t="s">
        <v>104</v>
      </c>
      <c r="F213" s="26">
        <f>1350+1800</f>
        <v>3150</v>
      </c>
      <c r="G213" s="26">
        <v>0</v>
      </c>
      <c r="H213" s="26">
        <v>0</v>
      </c>
    </row>
    <row r="214" spans="1:8" ht="51.75" customHeight="1" outlineLevel="4">
      <c r="A214" s="16" t="s">
        <v>605</v>
      </c>
      <c r="B214" s="19" t="s">
        <v>606</v>
      </c>
      <c r="C214" s="12"/>
      <c r="D214" s="12"/>
      <c r="E214" s="12"/>
      <c r="F214" s="26">
        <f>F216+F215</f>
        <v>15000</v>
      </c>
      <c r="G214" s="26">
        <f t="shared" ref="G214:H214" si="61">G216</f>
        <v>0</v>
      </c>
      <c r="H214" s="26">
        <f t="shared" si="61"/>
        <v>0</v>
      </c>
    </row>
    <row r="215" spans="1:8" ht="51.75" customHeight="1" outlineLevel="4">
      <c r="A215" s="11" t="s">
        <v>33</v>
      </c>
      <c r="B215" s="19" t="s">
        <v>606</v>
      </c>
      <c r="C215" s="12" t="s">
        <v>97</v>
      </c>
      <c r="D215" s="12" t="s">
        <v>153</v>
      </c>
      <c r="E215" s="12" t="s">
        <v>102</v>
      </c>
      <c r="F215" s="26">
        <v>14700</v>
      </c>
      <c r="G215" s="26">
        <v>0</v>
      </c>
      <c r="H215" s="26">
        <v>0</v>
      </c>
    </row>
    <row r="216" spans="1:8" ht="50.25" customHeight="1" outlineLevel="4">
      <c r="A216" s="16" t="s">
        <v>578</v>
      </c>
      <c r="B216" s="19" t="s">
        <v>606</v>
      </c>
      <c r="C216" s="12" t="s">
        <v>96</v>
      </c>
      <c r="D216" s="12" t="s">
        <v>153</v>
      </c>
      <c r="E216" s="12" t="s">
        <v>102</v>
      </c>
      <c r="F216" s="26">
        <f>14700-14400</f>
        <v>300</v>
      </c>
      <c r="G216" s="26">
        <v>0</v>
      </c>
      <c r="H216" s="26">
        <v>0</v>
      </c>
    </row>
    <row r="217" spans="1:8" ht="47.25" outlineLevel="3">
      <c r="A217" s="11" t="s">
        <v>124</v>
      </c>
      <c r="B217" s="12" t="s">
        <v>148</v>
      </c>
      <c r="C217" s="12"/>
      <c r="D217" s="12"/>
      <c r="E217" s="12"/>
      <c r="F217" s="26">
        <f>F218</f>
        <v>0</v>
      </c>
      <c r="G217" s="26">
        <f t="shared" ref="G217:H217" si="62">G218</f>
        <v>4200</v>
      </c>
      <c r="H217" s="26">
        <f t="shared" si="62"/>
        <v>0</v>
      </c>
    </row>
    <row r="218" spans="1:8" ht="47.25" outlineLevel="4">
      <c r="A218" s="11" t="s">
        <v>33</v>
      </c>
      <c r="B218" s="12" t="s">
        <v>148</v>
      </c>
      <c r="C218" s="12" t="s">
        <v>97</v>
      </c>
      <c r="D218" s="12" t="s">
        <v>153</v>
      </c>
      <c r="E218" s="12" t="s">
        <v>104</v>
      </c>
      <c r="F218" s="26">
        <v>0</v>
      </c>
      <c r="G218" s="26">
        <v>4200</v>
      </c>
      <c r="H218" s="26">
        <v>0</v>
      </c>
    </row>
    <row r="219" spans="1:8" ht="31.5" outlineLevel="3">
      <c r="A219" s="11" t="s">
        <v>125</v>
      </c>
      <c r="B219" s="12" t="s">
        <v>149</v>
      </c>
      <c r="C219" s="12"/>
      <c r="D219" s="12"/>
      <c r="E219" s="12"/>
      <c r="F219" s="26">
        <f>F220</f>
        <v>0</v>
      </c>
      <c r="G219" s="26">
        <f t="shared" ref="G219:H219" si="63">G220</f>
        <v>1200</v>
      </c>
      <c r="H219" s="26">
        <f t="shared" si="63"/>
        <v>0</v>
      </c>
    </row>
    <row r="220" spans="1:8" ht="47.25" outlineLevel="4">
      <c r="A220" s="11" t="s">
        <v>33</v>
      </c>
      <c r="B220" s="12" t="s">
        <v>149</v>
      </c>
      <c r="C220" s="12" t="s">
        <v>97</v>
      </c>
      <c r="D220" s="12" t="s">
        <v>153</v>
      </c>
      <c r="E220" s="12" t="s">
        <v>104</v>
      </c>
      <c r="F220" s="26">
        <v>0</v>
      </c>
      <c r="G220" s="26">
        <v>1200</v>
      </c>
      <c r="H220" s="26">
        <v>0</v>
      </c>
    </row>
    <row r="221" spans="1:8" hidden="1" outlineLevel="3">
      <c r="A221" s="11"/>
      <c r="B221" s="12"/>
      <c r="C221" s="12"/>
      <c r="D221" s="12"/>
      <c r="E221" s="12"/>
      <c r="F221" s="26"/>
      <c r="G221" s="26"/>
      <c r="H221" s="26"/>
    </row>
    <row r="222" spans="1:8" hidden="1" outlineLevel="4">
      <c r="A222" s="11"/>
      <c r="B222" s="12"/>
      <c r="C222" s="12"/>
      <c r="D222" s="12"/>
      <c r="E222" s="12"/>
      <c r="F222" s="26"/>
      <c r="G222" s="26"/>
      <c r="H222" s="26"/>
    </row>
    <row r="223" spans="1:8" ht="47.25" outlineLevel="3" collapsed="1">
      <c r="A223" s="11" t="s">
        <v>126</v>
      </c>
      <c r="B223" s="12" t="s">
        <v>150</v>
      </c>
      <c r="C223" s="12"/>
      <c r="D223" s="12"/>
      <c r="E223" s="12"/>
      <c r="F223" s="26">
        <f>F224</f>
        <v>17225</v>
      </c>
      <c r="G223" s="26">
        <f t="shared" ref="G223:H223" si="64">G224</f>
        <v>17225</v>
      </c>
      <c r="H223" s="26">
        <f t="shared" si="64"/>
        <v>17225</v>
      </c>
    </row>
    <row r="224" spans="1:8" ht="63" customHeight="1" outlineLevel="4">
      <c r="A224" s="11" t="s">
        <v>127</v>
      </c>
      <c r="B224" s="12" t="s">
        <v>151</v>
      </c>
      <c r="C224" s="12"/>
      <c r="D224" s="12"/>
      <c r="E224" s="12"/>
      <c r="F224" s="26">
        <f>F225</f>
        <v>17225</v>
      </c>
      <c r="G224" s="26">
        <f t="shared" ref="G224:H224" si="65">G225</f>
        <v>17225</v>
      </c>
      <c r="H224" s="26">
        <f t="shared" si="65"/>
        <v>17225</v>
      </c>
    </row>
    <row r="225" spans="1:8" ht="49.5" customHeight="1" outlineLevel="3">
      <c r="A225" s="11" t="s">
        <v>22</v>
      </c>
      <c r="B225" s="12" t="s">
        <v>151</v>
      </c>
      <c r="C225" s="12" t="s">
        <v>96</v>
      </c>
      <c r="D225" s="12" t="s">
        <v>153</v>
      </c>
      <c r="E225" s="12" t="s">
        <v>104</v>
      </c>
      <c r="F225" s="26">
        <v>17225</v>
      </c>
      <c r="G225" s="26">
        <v>17225</v>
      </c>
      <c r="H225" s="26">
        <v>17225</v>
      </c>
    </row>
    <row r="226" spans="1:8" ht="66.75" customHeight="1" outlineLevel="3">
      <c r="A226" s="11" t="s">
        <v>561</v>
      </c>
      <c r="B226" s="12" t="s">
        <v>563</v>
      </c>
      <c r="C226" s="12"/>
      <c r="D226" s="12"/>
      <c r="E226" s="12"/>
      <c r="F226" s="26">
        <f>F227</f>
        <v>8676.9390000000003</v>
      </c>
      <c r="G226" s="26">
        <f t="shared" ref="G226:H227" si="66">G227</f>
        <v>0</v>
      </c>
      <c r="H226" s="26">
        <f t="shared" si="66"/>
        <v>0</v>
      </c>
    </row>
    <row r="227" spans="1:8" ht="65.25" customHeight="1" outlineLevel="3">
      <c r="A227" s="11" t="s">
        <v>562</v>
      </c>
      <c r="B227" s="12" t="s">
        <v>560</v>
      </c>
      <c r="C227" s="12"/>
      <c r="D227" s="12"/>
      <c r="E227" s="12"/>
      <c r="F227" s="26">
        <f>F228</f>
        <v>8676.9390000000003</v>
      </c>
      <c r="G227" s="26">
        <f t="shared" si="66"/>
        <v>0</v>
      </c>
      <c r="H227" s="26">
        <f t="shared" si="66"/>
        <v>0</v>
      </c>
    </row>
    <row r="228" spans="1:8" ht="45.75" customHeight="1" outlineLevel="3">
      <c r="A228" s="11" t="s">
        <v>22</v>
      </c>
      <c r="B228" s="12" t="s">
        <v>560</v>
      </c>
      <c r="C228" s="12" t="s">
        <v>96</v>
      </c>
      <c r="D228" s="12" t="s">
        <v>153</v>
      </c>
      <c r="E228" s="12" t="s">
        <v>100</v>
      </c>
      <c r="F228" s="26">
        <f>8503.4+173.539</f>
        <v>8676.9390000000003</v>
      </c>
      <c r="G228" s="26">
        <v>0</v>
      </c>
      <c r="H228" s="26">
        <v>0</v>
      </c>
    </row>
    <row r="229" spans="1:8" ht="34.5" customHeight="1" outlineLevel="4">
      <c r="A229" s="7" t="s">
        <v>154</v>
      </c>
      <c r="B229" s="8" t="s">
        <v>169</v>
      </c>
      <c r="C229" s="8"/>
      <c r="D229" s="8"/>
      <c r="E229" s="8"/>
      <c r="F229" s="24">
        <f>F230+F237</f>
        <v>4306.7</v>
      </c>
      <c r="G229" s="24">
        <f>G230+G237</f>
        <v>3728.1</v>
      </c>
      <c r="H229" s="24">
        <f>H230+H237</f>
        <v>3728.1</v>
      </c>
    </row>
    <row r="230" spans="1:8" ht="47.25" outlineLevel="3">
      <c r="A230" s="16" t="s">
        <v>607</v>
      </c>
      <c r="B230" s="19" t="s">
        <v>609</v>
      </c>
      <c r="C230" s="10"/>
      <c r="D230" s="10"/>
      <c r="E230" s="10"/>
      <c r="F230" s="26">
        <f>F231+F233+F235</f>
        <v>824</v>
      </c>
      <c r="G230" s="26">
        <f>G231+G233+G235</f>
        <v>824</v>
      </c>
      <c r="H230" s="26">
        <f>H231+H233+H235</f>
        <v>824</v>
      </c>
    </row>
    <row r="231" spans="1:8" ht="47.25" outlineLevel="4">
      <c r="A231" s="16" t="s">
        <v>608</v>
      </c>
      <c r="B231" s="19" t="s">
        <v>610</v>
      </c>
      <c r="C231" s="12"/>
      <c r="D231" s="12"/>
      <c r="E231" s="12"/>
      <c r="F231" s="26">
        <f>F232</f>
        <v>3</v>
      </c>
      <c r="G231" s="26">
        <f>G232</f>
        <v>3</v>
      </c>
      <c r="H231" s="26">
        <f>H232</f>
        <v>3</v>
      </c>
    </row>
    <row r="232" spans="1:8" ht="47.25" outlineLevel="3">
      <c r="A232" s="16" t="s">
        <v>577</v>
      </c>
      <c r="B232" s="19" t="s">
        <v>610</v>
      </c>
      <c r="C232" s="12" t="s">
        <v>94</v>
      </c>
      <c r="D232" s="12" t="s">
        <v>152</v>
      </c>
      <c r="E232" s="12" t="s">
        <v>152</v>
      </c>
      <c r="F232" s="26">
        <v>3</v>
      </c>
      <c r="G232" s="26">
        <v>3</v>
      </c>
      <c r="H232" s="26">
        <v>3</v>
      </c>
    </row>
    <row r="233" spans="1:8" ht="47.25" outlineLevel="4">
      <c r="A233" s="16" t="s">
        <v>611</v>
      </c>
      <c r="B233" s="19" t="s">
        <v>613</v>
      </c>
      <c r="C233" s="12"/>
      <c r="D233" s="12"/>
      <c r="E233" s="12"/>
      <c r="F233" s="26">
        <f>F234</f>
        <v>722</v>
      </c>
      <c r="G233" s="26">
        <f t="shared" ref="G233:H233" si="67">G234</f>
        <v>722</v>
      </c>
      <c r="H233" s="26">
        <f t="shared" si="67"/>
        <v>722</v>
      </c>
    </row>
    <row r="234" spans="1:8" ht="47.25" outlineLevel="4">
      <c r="A234" s="16" t="s">
        <v>577</v>
      </c>
      <c r="B234" s="19" t="s">
        <v>613</v>
      </c>
      <c r="C234" s="12" t="s">
        <v>94</v>
      </c>
      <c r="D234" s="12" t="s">
        <v>152</v>
      </c>
      <c r="E234" s="12" t="s">
        <v>152</v>
      </c>
      <c r="F234" s="26">
        <v>722</v>
      </c>
      <c r="G234" s="26">
        <v>722</v>
      </c>
      <c r="H234" s="26">
        <v>722</v>
      </c>
    </row>
    <row r="235" spans="1:8" ht="96.75" customHeight="1" outlineLevel="3">
      <c r="A235" s="16" t="s">
        <v>612</v>
      </c>
      <c r="B235" s="19" t="s">
        <v>614</v>
      </c>
      <c r="C235" s="12"/>
      <c r="D235" s="12"/>
      <c r="E235" s="12"/>
      <c r="F235" s="26">
        <f>F236</f>
        <v>99</v>
      </c>
      <c r="G235" s="26">
        <f t="shared" ref="G235:H235" si="68">G236</f>
        <v>99</v>
      </c>
      <c r="H235" s="26">
        <f t="shared" si="68"/>
        <v>99</v>
      </c>
    </row>
    <row r="236" spans="1:8" ht="31.5" outlineLevel="3">
      <c r="A236" s="16" t="s">
        <v>595</v>
      </c>
      <c r="B236" s="19" t="s">
        <v>614</v>
      </c>
      <c r="C236" s="12" t="s">
        <v>98</v>
      </c>
      <c r="D236" s="12" t="s">
        <v>152</v>
      </c>
      <c r="E236" s="12" t="s">
        <v>152</v>
      </c>
      <c r="F236" s="26">
        <v>99</v>
      </c>
      <c r="G236" s="26">
        <v>99</v>
      </c>
      <c r="H236" s="26">
        <v>99</v>
      </c>
    </row>
    <row r="237" spans="1:8" ht="48" customHeight="1" outlineLevel="4">
      <c r="A237" s="16" t="s">
        <v>615</v>
      </c>
      <c r="B237" s="19" t="s">
        <v>618</v>
      </c>
      <c r="C237" s="12"/>
      <c r="D237" s="12"/>
      <c r="E237" s="12"/>
      <c r="F237" s="26">
        <f>F238+F241</f>
        <v>3482.7</v>
      </c>
      <c r="G237" s="26">
        <f>G238+G241</f>
        <v>2904.1</v>
      </c>
      <c r="H237" s="26">
        <f>H238+H241</f>
        <v>2904.1</v>
      </c>
    </row>
    <row r="238" spans="1:8" ht="50.25" customHeight="1" outlineLevel="4">
      <c r="A238" s="16" t="s">
        <v>616</v>
      </c>
      <c r="B238" s="19" t="s">
        <v>619</v>
      </c>
      <c r="C238" s="12"/>
      <c r="D238" s="12"/>
      <c r="E238" s="12"/>
      <c r="F238" s="26">
        <f>F239+F240</f>
        <v>2904.1</v>
      </c>
      <c r="G238" s="26">
        <f t="shared" ref="G238:H238" si="69">G239+G240</f>
        <v>2904.1</v>
      </c>
      <c r="H238" s="26">
        <f t="shared" si="69"/>
        <v>2904.1</v>
      </c>
    </row>
    <row r="239" spans="1:8" ht="94.5" customHeight="1" outlineLevel="2">
      <c r="A239" s="16" t="s">
        <v>617</v>
      </c>
      <c r="B239" s="19" t="s">
        <v>619</v>
      </c>
      <c r="C239" s="12" t="s">
        <v>93</v>
      </c>
      <c r="D239" s="12" t="s">
        <v>152</v>
      </c>
      <c r="E239" s="12" t="s">
        <v>620</v>
      </c>
      <c r="F239" s="26">
        <v>2888.5</v>
      </c>
      <c r="G239" s="26">
        <v>2888.5</v>
      </c>
      <c r="H239" s="26">
        <v>2888.5</v>
      </c>
    </row>
    <row r="240" spans="1:8" ht="33" customHeight="1" outlineLevel="3">
      <c r="A240" s="16" t="s">
        <v>577</v>
      </c>
      <c r="B240" s="19" t="s">
        <v>619</v>
      </c>
      <c r="C240" s="12" t="s">
        <v>94</v>
      </c>
      <c r="D240" s="12" t="s">
        <v>152</v>
      </c>
      <c r="E240" s="12" t="s">
        <v>105</v>
      </c>
      <c r="F240" s="26">
        <v>15.6</v>
      </c>
      <c r="G240" s="26">
        <v>15.6</v>
      </c>
      <c r="H240" s="26">
        <v>15.6</v>
      </c>
    </row>
    <row r="241" spans="1:8" ht="46.5" customHeight="1" outlineLevel="4">
      <c r="A241" s="16" t="s">
        <v>621</v>
      </c>
      <c r="B241" s="19" t="s">
        <v>622</v>
      </c>
      <c r="C241" s="12"/>
      <c r="D241" s="12"/>
      <c r="E241" s="12"/>
      <c r="F241" s="26">
        <f>F242+F243</f>
        <v>578.59999999999991</v>
      </c>
      <c r="G241" s="26">
        <f t="shared" ref="G241:H241" si="70">G242+G243</f>
        <v>0</v>
      </c>
      <c r="H241" s="26">
        <f t="shared" si="70"/>
        <v>0</v>
      </c>
    </row>
    <row r="242" spans="1:8" ht="95.25" customHeight="1" outlineLevel="4">
      <c r="A242" s="16" t="s">
        <v>617</v>
      </c>
      <c r="B242" s="19" t="s">
        <v>622</v>
      </c>
      <c r="C242" s="12" t="s">
        <v>93</v>
      </c>
      <c r="D242" s="12" t="s">
        <v>152</v>
      </c>
      <c r="E242" s="12" t="s">
        <v>105</v>
      </c>
      <c r="F242" s="26">
        <f>949.8-332.2-100.3</f>
        <v>517.29999999999995</v>
      </c>
      <c r="G242" s="26">
        <f>949.8-729.5-220.3</f>
        <v>0</v>
      </c>
      <c r="H242" s="26">
        <f>949.8-729.5-220.3</f>
        <v>0</v>
      </c>
    </row>
    <row r="243" spans="1:8" ht="47.25" outlineLevel="3">
      <c r="A243" s="16" t="s">
        <v>577</v>
      </c>
      <c r="B243" s="19" t="s">
        <v>622</v>
      </c>
      <c r="C243" s="12" t="s">
        <v>94</v>
      </c>
      <c r="D243" s="12" t="s">
        <v>152</v>
      </c>
      <c r="E243" s="12" t="s">
        <v>105</v>
      </c>
      <c r="F243" s="26">
        <f>113.3-52</f>
        <v>61.3</v>
      </c>
      <c r="G243" s="26">
        <f>113.3-113.3</f>
        <v>0</v>
      </c>
      <c r="H243" s="26">
        <f>113.3-113.3</f>
        <v>0</v>
      </c>
    </row>
    <row r="244" spans="1:8" ht="48.75" hidden="1" customHeight="1" outlineLevel="4">
      <c r="A244" s="11"/>
      <c r="B244" s="12"/>
      <c r="C244" s="12"/>
      <c r="D244" s="12"/>
      <c r="E244" s="12"/>
      <c r="F244" s="26"/>
      <c r="G244" s="26"/>
      <c r="H244" s="26"/>
    </row>
    <row r="245" spans="1:8" s="3" customFormat="1" hidden="1" outlineLevel="1">
      <c r="A245" s="11"/>
      <c r="B245" s="12"/>
      <c r="C245" s="12"/>
      <c r="D245" s="12"/>
      <c r="E245" s="12"/>
      <c r="F245" s="26"/>
      <c r="G245" s="26"/>
      <c r="H245" s="26"/>
    </row>
    <row r="246" spans="1:8" hidden="1" outlineLevel="2">
      <c r="A246" s="11"/>
      <c r="B246" s="12"/>
      <c r="C246" s="12"/>
      <c r="D246" s="12"/>
      <c r="E246" s="12"/>
      <c r="F246" s="26"/>
      <c r="G246" s="26"/>
      <c r="H246" s="26"/>
    </row>
    <row r="247" spans="1:8" ht="173.25" hidden="1" outlineLevel="4">
      <c r="A247" s="11" t="s">
        <v>155</v>
      </c>
      <c r="B247" s="12" t="s">
        <v>170</v>
      </c>
      <c r="C247" s="12"/>
      <c r="D247" s="12"/>
      <c r="E247" s="12"/>
      <c r="F247" s="26">
        <f>F248</f>
        <v>0</v>
      </c>
      <c r="G247" s="26">
        <f t="shared" ref="G247:H247" si="71">G248</f>
        <v>0</v>
      </c>
      <c r="H247" s="26">
        <f t="shared" si="71"/>
        <v>0</v>
      </c>
    </row>
    <row r="248" spans="1:8" ht="47.25" hidden="1" customHeight="1" outlineLevel="3">
      <c r="A248" s="11" t="s">
        <v>22</v>
      </c>
      <c r="B248" s="12" t="s">
        <v>170</v>
      </c>
      <c r="C248" s="12" t="s">
        <v>96</v>
      </c>
      <c r="D248" s="12" t="s">
        <v>152</v>
      </c>
      <c r="E248" s="12" t="s">
        <v>100</v>
      </c>
      <c r="F248" s="26">
        <f>1460-1460</f>
        <v>0</v>
      </c>
      <c r="G248" s="26">
        <f>1460-1460</f>
        <v>0</v>
      </c>
      <c r="H248" s="26">
        <f>1460-1460</f>
        <v>0</v>
      </c>
    </row>
    <row r="249" spans="1:8" ht="47.25" hidden="1" outlineLevel="3">
      <c r="A249" s="11" t="s">
        <v>156</v>
      </c>
      <c r="B249" s="12" t="s">
        <v>171</v>
      </c>
      <c r="C249" s="12"/>
      <c r="D249" s="12"/>
      <c r="E249" s="12"/>
      <c r="F249" s="26">
        <f>F250</f>
        <v>0</v>
      </c>
      <c r="G249" s="26">
        <f t="shared" ref="G249:H249" si="72">G250</f>
        <v>0</v>
      </c>
      <c r="H249" s="26">
        <f t="shared" si="72"/>
        <v>0</v>
      </c>
    </row>
    <row r="250" spans="1:8" ht="48.6" hidden="1" customHeight="1" outlineLevel="4">
      <c r="A250" s="11" t="s">
        <v>22</v>
      </c>
      <c r="B250" s="12" t="s">
        <v>171</v>
      </c>
      <c r="C250" s="12" t="s">
        <v>96</v>
      </c>
      <c r="D250" s="12" t="s">
        <v>152</v>
      </c>
      <c r="E250" s="12" t="s">
        <v>100</v>
      </c>
      <c r="F250" s="26">
        <f>11370-11370</f>
        <v>0</v>
      </c>
      <c r="G250" s="26">
        <f>11677.7-11677.7</f>
        <v>0</v>
      </c>
      <c r="H250" s="26">
        <f>11786-11786</f>
        <v>0</v>
      </c>
    </row>
    <row r="251" spans="1:8" ht="63" outlineLevel="3" collapsed="1">
      <c r="A251" s="7" t="s">
        <v>157</v>
      </c>
      <c r="B251" s="8" t="s">
        <v>172</v>
      </c>
      <c r="C251" s="8"/>
      <c r="D251" s="8"/>
      <c r="E251" s="8"/>
      <c r="F251" s="24">
        <f>F252+F261+F265</f>
        <v>18012.899999999998</v>
      </c>
      <c r="G251" s="24">
        <f t="shared" ref="G251:H251" si="73">G252+G261+G265</f>
        <v>15755.7</v>
      </c>
      <c r="H251" s="24">
        <f t="shared" si="73"/>
        <v>20940.099999999999</v>
      </c>
    </row>
    <row r="252" spans="1:8" ht="47.25" outlineLevel="4">
      <c r="A252" s="9" t="s">
        <v>158</v>
      </c>
      <c r="B252" s="10" t="s">
        <v>173</v>
      </c>
      <c r="C252" s="10"/>
      <c r="D252" s="10"/>
      <c r="E252" s="10"/>
      <c r="F252" s="25">
        <f>F253+F258</f>
        <v>16826.599999999999</v>
      </c>
      <c r="G252" s="25">
        <f t="shared" ref="G252:H252" si="74">G253+G258</f>
        <v>13560.2</v>
      </c>
      <c r="H252" s="25">
        <f t="shared" si="74"/>
        <v>12158</v>
      </c>
    </row>
    <row r="253" spans="1:8" ht="78.75" outlineLevel="4">
      <c r="A253" s="11" t="s">
        <v>159</v>
      </c>
      <c r="B253" s="12" t="s">
        <v>174</v>
      </c>
      <c r="C253" s="12"/>
      <c r="D253" s="12"/>
      <c r="E253" s="12"/>
      <c r="F253" s="26">
        <f>F254</f>
        <v>11527.2</v>
      </c>
      <c r="G253" s="26">
        <f t="shared" ref="G253:H253" si="75">G254</f>
        <v>11527.2</v>
      </c>
      <c r="H253" s="26">
        <f t="shared" si="75"/>
        <v>11527.2</v>
      </c>
    </row>
    <row r="254" spans="1:8" s="3" customFormat="1" ht="30" customHeight="1" outlineLevel="1">
      <c r="A254" s="11" t="s">
        <v>14</v>
      </c>
      <c r="B254" s="12" t="s">
        <v>175</v>
      </c>
      <c r="C254" s="12"/>
      <c r="D254" s="12"/>
      <c r="E254" s="12"/>
      <c r="F254" s="26">
        <f>F255+F256+F257</f>
        <v>11527.2</v>
      </c>
      <c r="G254" s="26">
        <f t="shared" ref="G254:H254" si="76">G255+G256+G257</f>
        <v>11527.2</v>
      </c>
      <c r="H254" s="26">
        <f t="shared" si="76"/>
        <v>11527.2</v>
      </c>
    </row>
    <row r="255" spans="1:8" ht="96" customHeight="1" outlineLevel="2">
      <c r="A255" s="11" t="s">
        <v>15</v>
      </c>
      <c r="B255" s="12" t="s">
        <v>175</v>
      </c>
      <c r="C255" s="12" t="s">
        <v>93</v>
      </c>
      <c r="D255" s="12" t="s">
        <v>104</v>
      </c>
      <c r="E255" s="12" t="s">
        <v>185</v>
      </c>
      <c r="F255" s="26">
        <v>11120.2</v>
      </c>
      <c r="G255" s="26">
        <v>11120.2</v>
      </c>
      <c r="H255" s="26">
        <v>11120.2</v>
      </c>
    </row>
    <row r="256" spans="1:8" ht="47.25" outlineLevel="4">
      <c r="A256" s="11" t="s">
        <v>16</v>
      </c>
      <c r="B256" s="12" t="s">
        <v>175</v>
      </c>
      <c r="C256" s="12" t="s">
        <v>94</v>
      </c>
      <c r="D256" s="12" t="s">
        <v>104</v>
      </c>
      <c r="E256" s="12" t="s">
        <v>185</v>
      </c>
      <c r="F256" s="26">
        <v>406.5</v>
      </c>
      <c r="G256" s="26">
        <v>406.5</v>
      </c>
      <c r="H256" s="26">
        <v>406.5</v>
      </c>
    </row>
    <row r="257" spans="1:8" outlineLevel="4">
      <c r="A257" s="11" t="s">
        <v>18</v>
      </c>
      <c r="B257" s="12" t="s">
        <v>175</v>
      </c>
      <c r="C257" s="12" t="s">
        <v>95</v>
      </c>
      <c r="D257" s="12" t="s">
        <v>104</v>
      </c>
      <c r="E257" s="12" t="s">
        <v>185</v>
      </c>
      <c r="F257" s="26">
        <v>0.5</v>
      </c>
      <c r="G257" s="26">
        <v>0.5</v>
      </c>
      <c r="H257" s="26">
        <v>0.5</v>
      </c>
    </row>
    <row r="258" spans="1:8" ht="63" outlineLevel="4">
      <c r="A258" s="11" t="s">
        <v>160</v>
      </c>
      <c r="B258" s="12" t="s">
        <v>176</v>
      </c>
      <c r="C258" s="12"/>
      <c r="D258" s="12"/>
      <c r="E258" s="12"/>
      <c r="F258" s="26">
        <f>F259</f>
        <v>5299.4</v>
      </c>
      <c r="G258" s="26">
        <f t="shared" ref="G258:H259" si="77">G259</f>
        <v>2033</v>
      </c>
      <c r="H258" s="26">
        <f t="shared" si="77"/>
        <v>630.79999999999995</v>
      </c>
    </row>
    <row r="259" spans="1:8" ht="47.25" outlineLevel="4">
      <c r="A259" s="11" t="s">
        <v>161</v>
      </c>
      <c r="B259" s="12" t="s">
        <v>177</v>
      </c>
      <c r="C259" s="12"/>
      <c r="D259" s="12"/>
      <c r="E259" s="12"/>
      <c r="F259" s="26">
        <f>F260</f>
        <v>5299.4</v>
      </c>
      <c r="G259" s="26">
        <f t="shared" si="77"/>
        <v>2033</v>
      </c>
      <c r="H259" s="26">
        <f t="shared" si="77"/>
        <v>630.79999999999995</v>
      </c>
    </row>
    <row r="260" spans="1:8" outlineLevel="4">
      <c r="A260" s="11" t="s">
        <v>18</v>
      </c>
      <c r="B260" s="12" t="s">
        <v>177</v>
      </c>
      <c r="C260" s="12" t="s">
        <v>95</v>
      </c>
      <c r="D260" s="12" t="s">
        <v>104</v>
      </c>
      <c r="E260" s="12" t="s">
        <v>153</v>
      </c>
      <c r="F260" s="26">
        <f>601.1+664.3+4034</f>
        <v>5299.4</v>
      </c>
      <c r="G260" s="26">
        <v>2033</v>
      </c>
      <c r="H260" s="26">
        <v>630.79999999999995</v>
      </c>
    </row>
    <row r="261" spans="1:8" ht="31.5" outlineLevel="4">
      <c r="A261" s="9" t="s">
        <v>162</v>
      </c>
      <c r="B261" s="10" t="s">
        <v>178</v>
      </c>
      <c r="C261" s="10"/>
      <c r="D261" s="10"/>
      <c r="E261" s="10"/>
      <c r="F261" s="25">
        <f>F262</f>
        <v>186.3</v>
      </c>
      <c r="G261" s="25">
        <f t="shared" ref="G261:H263" si="78">G262</f>
        <v>1195.5</v>
      </c>
      <c r="H261" s="25">
        <f t="shared" si="78"/>
        <v>7782.1</v>
      </c>
    </row>
    <row r="262" spans="1:8" ht="47.25" outlineLevel="4">
      <c r="A262" s="11" t="s">
        <v>163</v>
      </c>
      <c r="B262" s="12" t="s">
        <v>179</v>
      </c>
      <c r="C262" s="12"/>
      <c r="D262" s="12"/>
      <c r="E262" s="12"/>
      <c r="F262" s="26">
        <f>F263</f>
        <v>186.3</v>
      </c>
      <c r="G262" s="26">
        <f t="shared" si="78"/>
        <v>1195.5</v>
      </c>
      <c r="H262" s="26">
        <f t="shared" si="78"/>
        <v>7782.1</v>
      </c>
    </row>
    <row r="263" spans="1:8" s="3" customFormat="1" ht="31.5" outlineLevel="1">
      <c r="A263" s="11" t="s">
        <v>164</v>
      </c>
      <c r="B263" s="12" t="s">
        <v>180</v>
      </c>
      <c r="C263" s="12"/>
      <c r="D263" s="12"/>
      <c r="E263" s="12"/>
      <c r="F263" s="26">
        <f>F264</f>
        <v>186.3</v>
      </c>
      <c r="G263" s="26">
        <f t="shared" si="78"/>
        <v>1195.5</v>
      </c>
      <c r="H263" s="26">
        <f t="shared" si="78"/>
        <v>7782.1</v>
      </c>
    </row>
    <row r="264" spans="1:8" ht="31.5" outlineLevel="2">
      <c r="A264" s="11" t="s">
        <v>165</v>
      </c>
      <c r="B264" s="12" t="s">
        <v>180</v>
      </c>
      <c r="C264" s="12" t="s">
        <v>181</v>
      </c>
      <c r="D264" s="12" t="s">
        <v>186</v>
      </c>
      <c r="E264" s="12" t="s">
        <v>104</v>
      </c>
      <c r="F264" s="26">
        <v>186.3</v>
      </c>
      <c r="G264" s="26">
        <v>1195.5</v>
      </c>
      <c r="H264" s="26">
        <v>7782.1</v>
      </c>
    </row>
    <row r="265" spans="1:8" ht="47.25" outlineLevel="3">
      <c r="A265" s="9" t="s">
        <v>166</v>
      </c>
      <c r="B265" s="10" t="s">
        <v>182</v>
      </c>
      <c r="C265" s="10"/>
      <c r="D265" s="10"/>
      <c r="E265" s="10"/>
      <c r="F265" s="25">
        <f>F266</f>
        <v>1000</v>
      </c>
      <c r="G265" s="25">
        <f t="shared" ref="G265:H266" si="79">G266</f>
        <v>1000</v>
      </c>
      <c r="H265" s="25">
        <f t="shared" si="79"/>
        <v>1000</v>
      </c>
    </row>
    <row r="266" spans="1:8" ht="63" outlineLevel="4">
      <c r="A266" s="11" t="s">
        <v>167</v>
      </c>
      <c r="B266" s="12" t="s">
        <v>183</v>
      </c>
      <c r="C266" s="12"/>
      <c r="D266" s="12"/>
      <c r="E266" s="12"/>
      <c r="F266" s="26">
        <f>F267</f>
        <v>1000</v>
      </c>
      <c r="G266" s="26">
        <f t="shared" si="79"/>
        <v>1000</v>
      </c>
      <c r="H266" s="26">
        <f t="shared" si="79"/>
        <v>1000</v>
      </c>
    </row>
    <row r="267" spans="1:8" s="2" customFormat="1" ht="63">
      <c r="A267" s="11" t="s">
        <v>168</v>
      </c>
      <c r="B267" s="12" t="s">
        <v>184</v>
      </c>
      <c r="C267" s="12"/>
      <c r="D267" s="12"/>
      <c r="E267" s="12"/>
      <c r="F267" s="26">
        <f>F268+F269+F270+F271</f>
        <v>1000</v>
      </c>
      <c r="G267" s="26">
        <f t="shared" ref="G267:H267" si="80">G268+G269+G270+G271</f>
        <v>1000</v>
      </c>
      <c r="H267" s="26">
        <f t="shared" si="80"/>
        <v>1000</v>
      </c>
    </row>
    <row r="268" spans="1:8" s="3" customFormat="1" ht="45" customHeight="1" outlineLevel="1">
      <c r="A268" s="11" t="s">
        <v>22</v>
      </c>
      <c r="B268" s="12" t="s">
        <v>184</v>
      </c>
      <c r="C268" s="12" t="s">
        <v>96</v>
      </c>
      <c r="D268" s="12" t="s">
        <v>99</v>
      </c>
      <c r="E268" s="12" t="s">
        <v>100</v>
      </c>
      <c r="F268" s="26">
        <v>638</v>
      </c>
      <c r="G268" s="26">
        <v>0</v>
      </c>
      <c r="H268" s="26">
        <v>0</v>
      </c>
    </row>
    <row r="269" spans="1:8" ht="50.25" customHeight="1" outlineLevel="4">
      <c r="A269" s="11" t="s">
        <v>22</v>
      </c>
      <c r="B269" s="12" t="s">
        <v>184</v>
      </c>
      <c r="C269" s="12" t="s">
        <v>96</v>
      </c>
      <c r="D269" s="12" t="s">
        <v>152</v>
      </c>
      <c r="E269" s="12" t="s">
        <v>100</v>
      </c>
      <c r="F269" s="26">
        <v>177</v>
      </c>
      <c r="G269" s="26">
        <v>0</v>
      </c>
      <c r="H269" s="26">
        <v>0</v>
      </c>
    </row>
    <row r="270" spans="1:8" ht="47.25" customHeight="1" outlineLevel="4">
      <c r="A270" s="11" t="s">
        <v>22</v>
      </c>
      <c r="B270" s="12" t="s">
        <v>184</v>
      </c>
      <c r="C270" s="12" t="s">
        <v>96</v>
      </c>
      <c r="D270" s="12" t="s">
        <v>107</v>
      </c>
      <c r="E270" s="12" t="s">
        <v>104</v>
      </c>
      <c r="F270" s="26">
        <v>185</v>
      </c>
      <c r="G270" s="26">
        <v>0</v>
      </c>
      <c r="H270" s="26">
        <v>0</v>
      </c>
    </row>
    <row r="271" spans="1:8" outlineLevel="3">
      <c r="A271" s="11" t="s">
        <v>18</v>
      </c>
      <c r="B271" s="12" t="s">
        <v>184</v>
      </c>
      <c r="C271" s="12" t="s">
        <v>95</v>
      </c>
      <c r="D271" s="12" t="s">
        <v>104</v>
      </c>
      <c r="E271" s="12" t="s">
        <v>186</v>
      </c>
      <c r="F271" s="26">
        <v>0</v>
      </c>
      <c r="G271" s="26">
        <v>1000</v>
      </c>
      <c r="H271" s="26">
        <v>1000</v>
      </c>
    </row>
    <row r="272" spans="1:8" ht="47.25" outlineLevel="4">
      <c r="A272" s="7" t="s">
        <v>187</v>
      </c>
      <c r="B272" s="8" t="s">
        <v>222</v>
      </c>
      <c r="C272" s="8"/>
      <c r="D272" s="8"/>
      <c r="E272" s="8"/>
      <c r="F272" s="24">
        <f>F273+F369+F384</f>
        <v>1260576.1840000001</v>
      </c>
      <c r="G272" s="24">
        <f t="shared" ref="G272:H272" si="81">G273+G369+G384</f>
        <v>1216063.3</v>
      </c>
      <c r="H272" s="24">
        <f t="shared" si="81"/>
        <v>1224393.2000000002</v>
      </c>
    </row>
    <row r="273" spans="1:8" ht="47.25" outlineLevel="2">
      <c r="A273" s="9" t="s">
        <v>188</v>
      </c>
      <c r="B273" s="10" t="s">
        <v>223</v>
      </c>
      <c r="C273" s="10"/>
      <c r="D273" s="10"/>
      <c r="E273" s="10"/>
      <c r="F273" s="25">
        <f>F274+F307+F342+F353+F366+F363</f>
        <v>1168785.6840000001</v>
      </c>
      <c r="G273" s="25">
        <f>G274+G307+G342+G353+G366+G363</f>
        <v>1124272.8</v>
      </c>
      <c r="H273" s="25">
        <f>H274+H307+H342+H353+H366+H363</f>
        <v>1132602.7000000002</v>
      </c>
    </row>
    <row r="274" spans="1:8" ht="78.75" outlineLevel="3">
      <c r="A274" s="11" t="s">
        <v>189</v>
      </c>
      <c r="B274" s="12" t="s">
        <v>224</v>
      </c>
      <c r="C274" s="12"/>
      <c r="D274" s="12"/>
      <c r="E274" s="12"/>
      <c r="F274" s="26">
        <f>F275+F277+F279+F281+F284+F287+F289+F291+F293+F297+F299+F301+F305+F295+F303</f>
        <v>528843.46199999994</v>
      </c>
      <c r="G274" s="26">
        <f>G275+G277+G279+G281+G284+G287+G289+G291+G293+G297+G299+G301+G305+G295</f>
        <v>530446.90999999992</v>
      </c>
      <c r="H274" s="26">
        <f>H275+H277+H279+H281+H284+H287+H289+H291+H293+H297+H299+H301+H305+H295</f>
        <v>534051.1100000001</v>
      </c>
    </row>
    <row r="275" spans="1:8" ht="31.5" outlineLevel="4">
      <c r="A275" s="11" t="s">
        <v>190</v>
      </c>
      <c r="B275" s="12" t="s">
        <v>225</v>
      </c>
      <c r="C275" s="12"/>
      <c r="D275" s="12"/>
      <c r="E275" s="12"/>
      <c r="F275" s="26">
        <f>F276</f>
        <v>4912.6880000000001</v>
      </c>
      <c r="G275" s="26">
        <f t="shared" ref="G275:H275" si="82">G276</f>
        <v>8043.8</v>
      </c>
      <c r="H275" s="26">
        <f t="shared" si="82"/>
        <v>3500</v>
      </c>
    </row>
    <row r="276" spans="1:8" ht="46.5" customHeight="1" outlineLevel="3">
      <c r="A276" s="11" t="s">
        <v>22</v>
      </c>
      <c r="B276" s="12" t="s">
        <v>225</v>
      </c>
      <c r="C276" s="12" t="s">
        <v>96</v>
      </c>
      <c r="D276" s="12" t="s">
        <v>152</v>
      </c>
      <c r="E276" s="12" t="s">
        <v>104</v>
      </c>
      <c r="F276" s="26">
        <f>5336-216.048-207.264</f>
        <v>4912.6880000000001</v>
      </c>
      <c r="G276" s="26">
        <v>8043.8</v>
      </c>
      <c r="H276" s="26">
        <v>3500</v>
      </c>
    </row>
    <row r="277" spans="1:8" ht="47.25" outlineLevel="3">
      <c r="A277" s="11" t="s">
        <v>191</v>
      </c>
      <c r="B277" s="12" t="s">
        <v>226</v>
      </c>
      <c r="C277" s="12"/>
      <c r="D277" s="12"/>
      <c r="E277" s="12"/>
      <c r="F277" s="26">
        <f>F278</f>
        <v>150</v>
      </c>
      <c r="G277" s="26">
        <f t="shared" ref="G277:H277" si="83">G278</f>
        <v>150</v>
      </c>
      <c r="H277" s="26">
        <f t="shared" si="83"/>
        <v>150</v>
      </c>
    </row>
    <row r="278" spans="1:8" ht="31.5" outlineLevel="4">
      <c r="A278" s="11" t="s">
        <v>47</v>
      </c>
      <c r="B278" s="12" t="s">
        <v>226</v>
      </c>
      <c r="C278" s="12" t="s">
        <v>98</v>
      </c>
      <c r="D278" s="12" t="s">
        <v>152</v>
      </c>
      <c r="E278" s="12" t="s">
        <v>104</v>
      </c>
      <c r="F278" s="26">
        <v>150</v>
      </c>
      <c r="G278" s="26">
        <v>150</v>
      </c>
      <c r="H278" s="26">
        <v>150</v>
      </c>
    </row>
    <row r="279" spans="1:8" s="3" customFormat="1" ht="63" outlineLevel="1">
      <c r="A279" s="11" t="s">
        <v>192</v>
      </c>
      <c r="B279" s="12" t="s">
        <v>227</v>
      </c>
      <c r="C279" s="12"/>
      <c r="D279" s="12"/>
      <c r="E279" s="12"/>
      <c r="F279" s="26">
        <f>F280</f>
        <v>250075</v>
      </c>
      <c r="G279" s="26">
        <f t="shared" ref="G279:H279" si="84">G280</f>
        <v>250075</v>
      </c>
      <c r="H279" s="26">
        <f t="shared" si="84"/>
        <v>250075</v>
      </c>
    </row>
    <row r="280" spans="1:8" ht="48" customHeight="1" outlineLevel="2">
      <c r="A280" s="11" t="s">
        <v>22</v>
      </c>
      <c r="B280" s="12" t="s">
        <v>227</v>
      </c>
      <c r="C280" s="12" t="s">
        <v>96</v>
      </c>
      <c r="D280" s="12" t="s">
        <v>152</v>
      </c>
      <c r="E280" s="12" t="s">
        <v>104</v>
      </c>
      <c r="F280" s="26">
        <v>250075</v>
      </c>
      <c r="G280" s="26">
        <v>250075</v>
      </c>
      <c r="H280" s="26">
        <v>250075</v>
      </c>
    </row>
    <row r="281" spans="1:8" ht="31.5" outlineLevel="3">
      <c r="A281" s="11" t="s">
        <v>193</v>
      </c>
      <c r="B281" s="12" t="s">
        <v>228</v>
      </c>
      <c r="C281" s="12"/>
      <c r="D281" s="12"/>
      <c r="E281" s="12"/>
      <c r="F281" s="26">
        <f>F282+F283</f>
        <v>1421.3999999999999</v>
      </c>
      <c r="G281" s="26">
        <f t="shared" ref="G281:H281" si="85">G282+G283</f>
        <v>1421.3999999999999</v>
      </c>
      <c r="H281" s="26">
        <f t="shared" si="85"/>
        <v>1421.3999999999999</v>
      </c>
    </row>
    <row r="282" spans="1:8" ht="47.25" outlineLevel="4">
      <c r="A282" s="11" t="s">
        <v>16</v>
      </c>
      <c r="B282" s="12" t="s">
        <v>228</v>
      </c>
      <c r="C282" s="12" t="s">
        <v>94</v>
      </c>
      <c r="D282" s="12" t="s">
        <v>106</v>
      </c>
      <c r="E282" s="12" t="s">
        <v>100</v>
      </c>
      <c r="F282" s="26">
        <v>14.1</v>
      </c>
      <c r="G282" s="26">
        <v>14.1</v>
      </c>
      <c r="H282" s="26">
        <v>14.1</v>
      </c>
    </row>
    <row r="283" spans="1:8" ht="31.5" outlineLevel="3">
      <c r="A283" s="11" t="s">
        <v>47</v>
      </c>
      <c r="B283" s="12" t="s">
        <v>228</v>
      </c>
      <c r="C283" s="12" t="s">
        <v>98</v>
      </c>
      <c r="D283" s="12" t="s">
        <v>106</v>
      </c>
      <c r="E283" s="12" t="s">
        <v>100</v>
      </c>
      <c r="F283" s="26">
        <v>1407.3</v>
      </c>
      <c r="G283" s="26">
        <v>1407.3</v>
      </c>
      <c r="H283" s="26">
        <v>1407.3</v>
      </c>
    </row>
    <row r="284" spans="1:8" ht="78.75" outlineLevel="3">
      <c r="A284" s="11" t="s">
        <v>194</v>
      </c>
      <c r="B284" s="12" t="s">
        <v>229</v>
      </c>
      <c r="C284" s="12"/>
      <c r="D284" s="12"/>
      <c r="E284" s="12"/>
      <c r="F284" s="26">
        <f>F285+F286</f>
        <v>40286</v>
      </c>
      <c r="G284" s="26">
        <f t="shared" ref="G284:H284" si="86">G285+G286</f>
        <v>40286</v>
      </c>
      <c r="H284" s="26">
        <f t="shared" si="86"/>
        <v>40286</v>
      </c>
    </row>
    <row r="285" spans="1:8" ht="47.25" outlineLevel="4">
      <c r="A285" s="11" t="s">
        <v>16</v>
      </c>
      <c r="B285" s="12" t="s">
        <v>229</v>
      </c>
      <c r="C285" s="12" t="s">
        <v>94</v>
      </c>
      <c r="D285" s="12" t="s">
        <v>106</v>
      </c>
      <c r="E285" s="12" t="s">
        <v>101</v>
      </c>
      <c r="F285" s="26">
        <v>398.9</v>
      </c>
      <c r="G285" s="26">
        <v>398.9</v>
      </c>
      <c r="H285" s="26">
        <v>398.9</v>
      </c>
    </row>
    <row r="286" spans="1:8" ht="31.5" outlineLevel="4">
      <c r="A286" s="11" t="s">
        <v>47</v>
      </c>
      <c r="B286" s="12" t="s">
        <v>229</v>
      </c>
      <c r="C286" s="12" t="s">
        <v>98</v>
      </c>
      <c r="D286" s="12" t="s">
        <v>106</v>
      </c>
      <c r="E286" s="12" t="s">
        <v>101</v>
      </c>
      <c r="F286" s="26">
        <v>39887.1</v>
      </c>
      <c r="G286" s="26">
        <v>39887.1</v>
      </c>
      <c r="H286" s="26">
        <v>39887.1</v>
      </c>
    </row>
    <row r="287" spans="1:8" s="3" customFormat="1" ht="63" outlineLevel="1">
      <c r="A287" s="11" t="s">
        <v>195</v>
      </c>
      <c r="B287" s="12" t="s">
        <v>230</v>
      </c>
      <c r="C287" s="12"/>
      <c r="D287" s="12"/>
      <c r="E287" s="12"/>
      <c r="F287" s="26">
        <f>F288</f>
        <v>1000</v>
      </c>
      <c r="G287" s="26">
        <f t="shared" ref="G287:H287" si="87">G288</f>
        <v>1000</v>
      </c>
      <c r="H287" s="26">
        <f t="shared" si="87"/>
        <v>1000</v>
      </c>
    </row>
    <row r="288" spans="1:8" ht="45.75" customHeight="1" outlineLevel="2">
      <c r="A288" s="11" t="s">
        <v>22</v>
      </c>
      <c r="B288" s="12" t="s">
        <v>230</v>
      </c>
      <c r="C288" s="12" t="s">
        <v>96</v>
      </c>
      <c r="D288" s="12" t="s">
        <v>152</v>
      </c>
      <c r="E288" s="12" t="s">
        <v>104</v>
      </c>
      <c r="F288" s="26">
        <v>1000</v>
      </c>
      <c r="G288" s="26">
        <v>1000</v>
      </c>
      <c r="H288" s="26">
        <v>1000</v>
      </c>
    </row>
    <row r="289" spans="1:8" ht="31.5" hidden="1" outlineLevel="3">
      <c r="A289" s="11" t="s">
        <v>196</v>
      </c>
      <c r="B289" s="12" t="s">
        <v>231</v>
      </c>
      <c r="C289" s="12"/>
      <c r="D289" s="12"/>
      <c r="E289" s="12"/>
      <c r="F289" s="26">
        <f>F290</f>
        <v>0</v>
      </c>
      <c r="G289" s="26">
        <f t="shared" ref="G289:H289" si="88">G290</f>
        <v>0</v>
      </c>
      <c r="H289" s="26">
        <f t="shared" si="88"/>
        <v>0</v>
      </c>
    </row>
    <row r="290" spans="1:8" ht="48" hidden="1" customHeight="1" outlineLevel="4">
      <c r="A290" s="11" t="s">
        <v>22</v>
      </c>
      <c r="B290" s="12" t="s">
        <v>231</v>
      </c>
      <c r="C290" s="12" t="s">
        <v>96</v>
      </c>
      <c r="D290" s="12" t="s">
        <v>152</v>
      </c>
      <c r="E290" s="12" t="s">
        <v>104</v>
      </c>
      <c r="F290" s="26">
        <f>143-143</f>
        <v>0</v>
      </c>
      <c r="G290" s="26">
        <v>0</v>
      </c>
      <c r="H290" s="26">
        <v>0</v>
      </c>
    </row>
    <row r="291" spans="1:8" ht="61.5" customHeight="1" outlineLevel="3" collapsed="1">
      <c r="A291" s="11" t="s">
        <v>197</v>
      </c>
      <c r="B291" s="12" t="s">
        <v>232</v>
      </c>
      <c r="C291" s="12"/>
      <c r="D291" s="12"/>
      <c r="E291" s="12"/>
      <c r="F291" s="26">
        <f>F292</f>
        <v>1501.3</v>
      </c>
      <c r="G291" s="26">
        <f t="shared" ref="G291:H291" si="89">G292</f>
        <v>0</v>
      </c>
      <c r="H291" s="26">
        <f t="shared" si="89"/>
        <v>0</v>
      </c>
    </row>
    <row r="292" spans="1:8" ht="45.75" customHeight="1" outlineLevel="4">
      <c r="A292" s="11" t="s">
        <v>22</v>
      </c>
      <c r="B292" s="12" t="s">
        <v>232</v>
      </c>
      <c r="C292" s="12" t="s">
        <v>96</v>
      </c>
      <c r="D292" s="12" t="s">
        <v>152</v>
      </c>
      <c r="E292" s="12" t="s">
        <v>104</v>
      </c>
      <c r="F292" s="26">
        <v>1501.3</v>
      </c>
      <c r="G292" s="26">
        <v>0</v>
      </c>
      <c r="H292" s="26">
        <v>0</v>
      </c>
    </row>
    <row r="293" spans="1:8" s="2" customFormat="1" ht="126">
      <c r="A293" s="11" t="s">
        <v>198</v>
      </c>
      <c r="B293" s="12" t="s">
        <v>233</v>
      </c>
      <c r="C293" s="12"/>
      <c r="D293" s="12"/>
      <c r="E293" s="12"/>
      <c r="F293" s="26">
        <f>F294</f>
        <v>964.71</v>
      </c>
      <c r="G293" s="26">
        <f t="shared" ref="G293:H293" si="90">G294</f>
        <v>964.71</v>
      </c>
      <c r="H293" s="26">
        <f t="shared" si="90"/>
        <v>964.71</v>
      </c>
    </row>
    <row r="294" spans="1:8" ht="48" customHeight="1" outlineLevel="2">
      <c r="A294" s="11" t="s">
        <v>22</v>
      </c>
      <c r="B294" s="12" t="s">
        <v>233</v>
      </c>
      <c r="C294" s="12" t="s">
        <v>96</v>
      </c>
      <c r="D294" s="12" t="s">
        <v>152</v>
      </c>
      <c r="E294" s="12" t="s">
        <v>104</v>
      </c>
      <c r="F294" s="26">
        <v>964.71</v>
      </c>
      <c r="G294" s="26">
        <v>964.71</v>
      </c>
      <c r="H294" s="26">
        <v>964.71</v>
      </c>
    </row>
    <row r="295" spans="1:8" ht="69" customHeight="1" outlineLevel="2">
      <c r="A295" s="22" t="s">
        <v>644</v>
      </c>
      <c r="B295" s="12" t="s">
        <v>643</v>
      </c>
      <c r="C295" s="12"/>
      <c r="D295" s="12"/>
      <c r="E295" s="12"/>
      <c r="F295" s="26">
        <f>F296</f>
        <v>3938</v>
      </c>
      <c r="G295" s="26">
        <f t="shared" ref="G295:H295" si="91">G296</f>
        <v>0</v>
      </c>
      <c r="H295" s="26">
        <f t="shared" si="91"/>
        <v>0</v>
      </c>
    </row>
    <row r="296" spans="1:8" ht="48" customHeight="1" outlineLevel="2">
      <c r="A296" s="11" t="s">
        <v>22</v>
      </c>
      <c r="B296" s="12" t="s">
        <v>643</v>
      </c>
      <c r="C296" s="12" t="s">
        <v>96</v>
      </c>
      <c r="D296" s="12" t="s">
        <v>152</v>
      </c>
      <c r="E296" s="12" t="s">
        <v>104</v>
      </c>
      <c r="F296" s="26">
        <v>3938</v>
      </c>
      <c r="G296" s="26">
        <v>0</v>
      </c>
      <c r="H296" s="26">
        <v>0</v>
      </c>
    </row>
    <row r="297" spans="1:8" ht="47.25" outlineLevel="3">
      <c r="A297" s="11" t="s">
        <v>199</v>
      </c>
      <c r="B297" s="12" t="s">
        <v>234</v>
      </c>
      <c r="C297" s="12"/>
      <c r="D297" s="12"/>
      <c r="E297" s="12"/>
      <c r="F297" s="26">
        <f>F298</f>
        <v>561.70000000000005</v>
      </c>
      <c r="G297" s="26">
        <f t="shared" ref="G297:H297" si="92">G298</f>
        <v>0</v>
      </c>
      <c r="H297" s="26">
        <f t="shared" si="92"/>
        <v>0</v>
      </c>
    </row>
    <row r="298" spans="1:8" ht="46.5" customHeight="1" outlineLevel="4">
      <c r="A298" s="11" t="s">
        <v>22</v>
      </c>
      <c r="B298" s="12" t="s">
        <v>234</v>
      </c>
      <c r="C298" s="12" t="s">
        <v>96</v>
      </c>
      <c r="D298" s="12" t="s">
        <v>152</v>
      </c>
      <c r="E298" s="12" t="s">
        <v>104</v>
      </c>
      <c r="F298" s="26">
        <f>561.6+0.1</f>
        <v>561.70000000000005</v>
      </c>
      <c r="G298" s="26">
        <v>0</v>
      </c>
      <c r="H298" s="26">
        <v>0</v>
      </c>
    </row>
    <row r="299" spans="1:8" ht="31.5" hidden="1" outlineLevel="2">
      <c r="A299" s="11" t="s">
        <v>196</v>
      </c>
      <c r="B299" s="12" t="s">
        <v>235</v>
      </c>
      <c r="C299" s="12"/>
      <c r="D299" s="12"/>
      <c r="E299" s="12"/>
      <c r="F299" s="26">
        <f>F300</f>
        <v>0</v>
      </c>
      <c r="G299" s="26">
        <f t="shared" ref="G299:H299" si="93">G300</f>
        <v>0</v>
      </c>
      <c r="H299" s="26">
        <f t="shared" si="93"/>
        <v>0</v>
      </c>
    </row>
    <row r="300" spans="1:8" ht="46.5" hidden="1" customHeight="1" outlineLevel="3">
      <c r="A300" s="11" t="s">
        <v>22</v>
      </c>
      <c r="B300" s="12" t="s">
        <v>235</v>
      </c>
      <c r="C300" s="12" t="s">
        <v>96</v>
      </c>
      <c r="D300" s="12" t="s">
        <v>152</v>
      </c>
      <c r="E300" s="12" t="s">
        <v>104</v>
      </c>
      <c r="F300" s="26">
        <f>36-36</f>
        <v>0</v>
      </c>
      <c r="G300" s="26">
        <v>0</v>
      </c>
      <c r="H300" s="26">
        <v>0</v>
      </c>
    </row>
    <row r="301" spans="1:8" ht="78.75" outlineLevel="4">
      <c r="A301" s="11" t="s">
        <v>200</v>
      </c>
      <c r="B301" s="12" t="s">
        <v>236</v>
      </c>
      <c r="C301" s="12"/>
      <c r="D301" s="12"/>
      <c r="E301" s="12"/>
      <c r="F301" s="26">
        <f>F302</f>
        <v>79.099999999999994</v>
      </c>
      <c r="G301" s="26">
        <f t="shared" ref="G301:H301" si="94">G302</f>
        <v>0</v>
      </c>
      <c r="H301" s="26">
        <f t="shared" si="94"/>
        <v>0</v>
      </c>
    </row>
    <row r="302" spans="1:8" ht="50.25" customHeight="1" outlineLevel="2">
      <c r="A302" s="11" t="s">
        <v>22</v>
      </c>
      <c r="B302" s="12" t="s">
        <v>236</v>
      </c>
      <c r="C302" s="12" t="s">
        <v>96</v>
      </c>
      <c r="D302" s="12" t="s">
        <v>152</v>
      </c>
      <c r="E302" s="12" t="s">
        <v>104</v>
      </c>
      <c r="F302" s="26">
        <v>79.099999999999994</v>
      </c>
      <c r="G302" s="26">
        <v>0</v>
      </c>
      <c r="H302" s="26">
        <v>0</v>
      </c>
    </row>
    <row r="303" spans="1:8" ht="65.25" customHeight="1" outlineLevel="2">
      <c r="A303" s="16" t="s">
        <v>650</v>
      </c>
      <c r="B303" s="19" t="s">
        <v>651</v>
      </c>
      <c r="C303" s="12"/>
      <c r="D303" s="12"/>
      <c r="E303" s="12"/>
      <c r="F303" s="26">
        <f>F304</f>
        <v>207.26400000000001</v>
      </c>
      <c r="G303" s="26">
        <f t="shared" ref="G303:H303" si="95">G304</f>
        <v>0</v>
      </c>
      <c r="H303" s="26">
        <f t="shared" si="95"/>
        <v>0</v>
      </c>
    </row>
    <row r="304" spans="1:8" ht="50.25" customHeight="1" outlineLevel="2">
      <c r="A304" s="16" t="s">
        <v>22</v>
      </c>
      <c r="B304" s="19" t="s">
        <v>651</v>
      </c>
      <c r="C304" s="12" t="s">
        <v>96</v>
      </c>
      <c r="D304" s="12" t="s">
        <v>152</v>
      </c>
      <c r="E304" s="12" t="s">
        <v>104</v>
      </c>
      <c r="F304" s="26">
        <v>207.26400000000001</v>
      </c>
      <c r="G304" s="26">
        <v>0</v>
      </c>
      <c r="H304" s="26">
        <v>0</v>
      </c>
    </row>
    <row r="305" spans="1:8" ht="47.25" outlineLevel="4">
      <c r="A305" s="11" t="s">
        <v>201</v>
      </c>
      <c r="B305" s="12" t="s">
        <v>237</v>
      </c>
      <c r="C305" s="12"/>
      <c r="D305" s="12"/>
      <c r="E305" s="12"/>
      <c r="F305" s="26">
        <f>F306</f>
        <v>223746.3</v>
      </c>
      <c r="G305" s="26">
        <f t="shared" ref="G305:H305" si="96">G306</f>
        <v>228506</v>
      </c>
      <c r="H305" s="26">
        <f t="shared" si="96"/>
        <v>236654</v>
      </c>
    </row>
    <row r="306" spans="1:8" ht="46.5" customHeight="1" outlineLevel="4">
      <c r="A306" s="11" t="s">
        <v>22</v>
      </c>
      <c r="B306" s="12" t="s">
        <v>237</v>
      </c>
      <c r="C306" s="12" t="s">
        <v>96</v>
      </c>
      <c r="D306" s="12" t="s">
        <v>152</v>
      </c>
      <c r="E306" s="12" t="s">
        <v>104</v>
      </c>
      <c r="F306" s="26">
        <v>223746.3</v>
      </c>
      <c r="G306" s="26">
        <v>228506</v>
      </c>
      <c r="H306" s="26">
        <v>236654</v>
      </c>
    </row>
    <row r="307" spans="1:8" s="2" customFormat="1" ht="78.75">
      <c r="A307" s="11" t="s">
        <v>202</v>
      </c>
      <c r="B307" s="12" t="s">
        <v>238</v>
      </c>
      <c r="C307" s="12"/>
      <c r="D307" s="12"/>
      <c r="E307" s="12"/>
      <c r="F307" s="26">
        <f>F308+F310+F312+F314+F316+F318+F320+F322+F324+F328+F330+F336+F340+F332+F326+F334+F338</f>
        <v>565833.29000000015</v>
      </c>
      <c r="G307" s="26">
        <f>G308+G310+G312+G314+G316+G318+G320+G322+G324+G328+G330+G336+G340+G332</f>
        <v>522825.69000000006</v>
      </c>
      <c r="H307" s="26">
        <f>H308+H310+H312+H314+H316+H318+H320+H322+H324+H328+H330+H336+H340+H332</f>
        <v>527219.09000000008</v>
      </c>
    </row>
    <row r="308" spans="1:8" ht="78.75" outlineLevel="2">
      <c r="A308" s="11" t="s">
        <v>203</v>
      </c>
      <c r="B308" s="12" t="s">
        <v>239</v>
      </c>
      <c r="C308" s="12"/>
      <c r="D308" s="12"/>
      <c r="E308" s="12"/>
      <c r="F308" s="26">
        <f>F309</f>
        <v>30</v>
      </c>
      <c r="G308" s="26">
        <f t="shared" ref="G308:H308" si="97">G309</f>
        <v>30</v>
      </c>
      <c r="H308" s="26">
        <f t="shared" si="97"/>
        <v>30</v>
      </c>
    </row>
    <row r="309" spans="1:8" ht="50.25" customHeight="1" outlineLevel="3">
      <c r="A309" s="11" t="s">
        <v>22</v>
      </c>
      <c r="B309" s="12" t="s">
        <v>239</v>
      </c>
      <c r="C309" s="12" t="s">
        <v>96</v>
      </c>
      <c r="D309" s="12" t="s">
        <v>152</v>
      </c>
      <c r="E309" s="12" t="s">
        <v>102</v>
      </c>
      <c r="F309" s="26">
        <v>30</v>
      </c>
      <c r="G309" s="26">
        <v>30</v>
      </c>
      <c r="H309" s="26">
        <v>30</v>
      </c>
    </row>
    <row r="310" spans="1:8" ht="31.5" outlineLevel="4">
      <c r="A310" s="11" t="s">
        <v>204</v>
      </c>
      <c r="B310" s="12" t="s">
        <v>240</v>
      </c>
      <c r="C310" s="12"/>
      <c r="D310" s="12"/>
      <c r="E310" s="12"/>
      <c r="F310" s="26">
        <f>F311</f>
        <v>8067.0259999999998</v>
      </c>
      <c r="G310" s="26">
        <f t="shared" ref="G310:H310" si="98">G311</f>
        <v>2000</v>
      </c>
      <c r="H310" s="26">
        <f t="shared" si="98"/>
        <v>2589.4</v>
      </c>
    </row>
    <row r="311" spans="1:8" ht="46.5" customHeight="1" outlineLevel="2">
      <c r="A311" s="11" t="s">
        <v>22</v>
      </c>
      <c r="B311" s="12" t="s">
        <v>240</v>
      </c>
      <c r="C311" s="12" t="s">
        <v>96</v>
      </c>
      <c r="D311" s="12" t="s">
        <v>152</v>
      </c>
      <c r="E311" s="12" t="s">
        <v>102</v>
      </c>
      <c r="F311" s="26">
        <f>8356.5-289.474</f>
        <v>8067.0259999999998</v>
      </c>
      <c r="G311" s="26">
        <v>2000</v>
      </c>
      <c r="H311" s="26">
        <v>2589.4</v>
      </c>
    </row>
    <row r="312" spans="1:8" ht="32.25" customHeight="1" outlineLevel="3">
      <c r="A312" s="11" t="s">
        <v>205</v>
      </c>
      <c r="B312" s="12" t="s">
        <v>241</v>
      </c>
      <c r="C312" s="12"/>
      <c r="D312" s="12"/>
      <c r="E312" s="12"/>
      <c r="F312" s="26">
        <f>F313</f>
        <v>200</v>
      </c>
      <c r="G312" s="26">
        <f t="shared" ref="G312:H312" si="99">G313</f>
        <v>200</v>
      </c>
      <c r="H312" s="26">
        <f t="shared" si="99"/>
        <v>200</v>
      </c>
    </row>
    <row r="313" spans="1:8" ht="31.5" outlineLevel="4">
      <c r="A313" s="11" t="s">
        <v>47</v>
      </c>
      <c r="B313" s="12" t="s">
        <v>241</v>
      </c>
      <c r="C313" s="12" t="s">
        <v>98</v>
      </c>
      <c r="D313" s="12" t="s">
        <v>152</v>
      </c>
      <c r="E313" s="12" t="s">
        <v>102</v>
      </c>
      <c r="F313" s="26">
        <v>200</v>
      </c>
      <c r="G313" s="26">
        <v>200</v>
      </c>
      <c r="H313" s="26">
        <v>200</v>
      </c>
    </row>
    <row r="314" spans="1:8" ht="31.5" outlineLevel="3">
      <c r="A314" s="11" t="s">
        <v>206</v>
      </c>
      <c r="B314" s="12" t="s">
        <v>242</v>
      </c>
      <c r="C314" s="12"/>
      <c r="D314" s="12"/>
      <c r="E314" s="12"/>
      <c r="F314" s="26">
        <f>F315</f>
        <v>100</v>
      </c>
      <c r="G314" s="26">
        <f t="shared" ref="G314:H314" si="100">G315</f>
        <v>100</v>
      </c>
      <c r="H314" s="26">
        <f t="shared" si="100"/>
        <v>100</v>
      </c>
    </row>
    <row r="315" spans="1:8" ht="31.5" outlineLevel="4">
      <c r="A315" s="11" t="s">
        <v>47</v>
      </c>
      <c r="B315" s="12" t="s">
        <v>242</v>
      </c>
      <c r="C315" s="12" t="s">
        <v>98</v>
      </c>
      <c r="D315" s="12" t="s">
        <v>152</v>
      </c>
      <c r="E315" s="12" t="s">
        <v>102</v>
      </c>
      <c r="F315" s="26">
        <v>100</v>
      </c>
      <c r="G315" s="26">
        <v>100</v>
      </c>
      <c r="H315" s="26">
        <v>100</v>
      </c>
    </row>
    <row r="316" spans="1:8" ht="63" outlineLevel="4">
      <c r="A316" s="11" t="s">
        <v>207</v>
      </c>
      <c r="B316" s="12" t="s">
        <v>243</v>
      </c>
      <c r="C316" s="12"/>
      <c r="D316" s="12"/>
      <c r="E316" s="12"/>
      <c r="F316" s="26">
        <f>F317</f>
        <v>200</v>
      </c>
      <c r="G316" s="26">
        <f t="shared" ref="G316:H316" si="101">G317</f>
        <v>200</v>
      </c>
      <c r="H316" s="26">
        <f t="shared" si="101"/>
        <v>200</v>
      </c>
    </row>
    <row r="317" spans="1:8" ht="31.5" outlineLevel="3">
      <c r="A317" s="11" t="s">
        <v>47</v>
      </c>
      <c r="B317" s="12" t="s">
        <v>243</v>
      </c>
      <c r="C317" s="12" t="s">
        <v>98</v>
      </c>
      <c r="D317" s="12" t="s">
        <v>152</v>
      </c>
      <c r="E317" s="12" t="s">
        <v>102</v>
      </c>
      <c r="F317" s="26">
        <v>200</v>
      </c>
      <c r="G317" s="26">
        <v>200</v>
      </c>
      <c r="H317" s="26">
        <v>200</v>
      </c>
    </row>
    <row r="318" spans="1:8" ht="157.5" outlineLevel="4">
      <c r="A318" s="11" t="s">
        <v>209</v>
      </c>
      <c r="B318" s="12" t="s">
        <v>244</v>
      </c>
      <c r="C318" s="12"/>
      <c r="D318" s="12"/>
      <c r="E318" s="12"/>
      <c r="F318" s="26">
        <f>F319</f>
        <v>432025</v>
      </c>
      <c r="G318" s="26">
        <f t="shared" ref="G318:H318" si="102">G319</f>
        <v>395648.5</v>
      </c>
      <c r="H318" s="26">
        <f t="shared" si="102"/>
        <v>395655</v>
      </c>
    </row>
    <row r="319" spans="1:8" ht="45" customHeight="1" outlineLevel="3">
      <c r="A319" s="11" t="s">
        <v>22</v>
      </c>
      <c r="B319" s="12" t="s">
        <v>244</v>
      </c>
      <c r="C319" s="12" t="s">
        <v>96</v>
      </c>
      <c r="D319" s="12" t="s">
        <v>152</v>
      </c>
      <c r="E319" s="12" t="s">
        <v>102</v>
      </c>
      <c r="F319" s="26">
        <v>432025</v>
      </c>
      <c r="G319" s="26">
        <v>395648.5</v>
      </c>
      <c r="H319" s="26">
        <v>395655</v>
      </c>
    </row>
    <row r="320" spans="1:8" ht="63" outlineLevel="3">
      <c r="A320" s="11" t="s">
        <v>195</v>
      </c>
      <c r="B320" s="12" t="s">
        <v>245</v>
      </c>
      <c r="C320" s="12"/>
      <c r="D320" s="12"/>
      <c r="E320" s="12"/>
      <c r="F320" s="26">
        <f>F321</f>
        <v>1000</v>
      </c>
      <c r="G320" s="26">
        <f t="shared" ref="G320:H320" si="103">G321</f>
        <v>1000</v>
      </c>
      <c r="H320" s="26">
        <f t="shared" si="103"/>
        <v>1000</v>
      </c>
    </row>
    <row r="321" spans="1:8" ht="45" customHeight="1" outlineLevel="4">
      <c r="A321" s="11" t="s">
        <v>22</v>
      </c>
      <c r="B321" s="12" t="s">
        <v>245</v>
      </c>
      <c r="C321" s="12" t="s">
        <v>96</v>
      </c>
      <c r="D321" s="12" t="s">
        <v>152</v>
      </c>
      <c r="E321" s="12" t="s">
        <v>102</v>
      </c>
      <c r="F321" s="26">
        <v>1000</v>
      </c>
      <c r="G321" s="26">
        <v>1000</v>
      </c>
      <c r="H321" s="26">
        <v>1000</v>
      </c>
    </row>
    <row r="322" spans="1:8" ht="78.75" outlineLevel="4">
      <c r="A322" s="11" t="s">
        <v>210</v>
      </c>
      <c r="B322" s="12" t="s">
        <v>246</v>
      </c>
      <c r="C322" s="12"/>
      <c r="D322" s="12"/>
      <c r="E322" s="12"/>
      <c r="F322" s="26">
        <f>F323</f>
        <v>4186.3999999999996</v>
      </c>
      <c r="G322" s="26">
        <f t="shared" ref="G322:H322" si="104">G323</f>
        <v>4186.3999999999996</v>
      </c>
      <c r="H322" s="26">
        <f t="shared" si="104"/>
        <v>4186.3999999999996</v>
      </c>
    </row>
    <row r="323" spans="1:8" ht="47.25" customHeight="1" outlineLevel="3">
      <c r="A323" s="11" t="s">
        <v>22</v>
      </c>
      <c r="B323" s="12" t="s">
        <v>246</v>
      </c>
      <c r="C323" s="12" t="s">
        <v>96</v>
      </c>
      <c r="D323" s="12" t="s">
        <v>152</v>
      </c>
      <c r="E323" s="12" t="s">
        <v>102</v>
      </c>
      <c r="F323" s="26">
        <v>4186.3999999999996</v>
      </c>
      <c r="G323" s="26">
        <v>4186.3999999999996</v>
      </c>
      <c r="H323" s="26">
        <v>4186.3999999999996</v>
      </c>
    </row>
    <row r="324" spans="1:8" s="2" customFormat="1" ht="94.5">
      <c r="A324" s="11" t="s">
        <v>211</v>
      </c>
      <c r="B324" s="12" t="s">
        <v>247</v>
      </c>
      <c r="C324" s="12"/>
      <c r="D324" s="12"/>
      <c r="E324" s="12"/>
      <c r="F324" s="26">
        <f>F325</f>
        <v>0</v>
      </c>
      <c r="G324" s="26">
        <f t="shared" ref="G324:H324" si="105">G325</f>
        <v>0</v>
      </c>
      <c r="H324" s="26">
        <f t="shared" si="105"/>
        <v>1875</v>
      </c>
    </row>
    <row r="325" spans="1:8" s="3" customFormat="1" ht="48" customHeight="1" outlineLevel="1">
      <c r="A325" s="11" t="s">
        <v>22</v>
      </c>
      <c r="B325" s="12" t="s">
        <v>247</v>
      </c>
      <c r="C325" s="12" t="s">
        <v>96</v>
      </c>
      <c r="D325" s="12" t="s">
        <v>152</v>
      </c>
      <c r="E325" s="12" t="s">
        <v>102</v>
      </c>
      <c r="F325" s="26">
        <v>0</v>
      </c>
      <c r="G325" s="26">
        <v>0</v>
      </c>
      <c r="H325" s="26">
        <v>1875</v>
      </c>
    </row>
    <row r="326" spans="1:8" s="3" customFormat="1" ht="33.75" customHeight="1" outlineLevel="1">
      <c r="A326" s="11" t="s">
        <v>196</v>
      </c>
      <c r="B326" s="12" t="s">
        <v>652</v>
      </c>
      <c r="C326" s="12"/>
      <c r="D326" s="12"/>
      <c r="E326" s="12"/>
      <c r="F326" s="26">
        <f>F327</f>
        <v>143</v>
      </c>
      <c r="G326" s="26">
        <f t="shared" ref="G326:H326" si="106">G327</f>
        <v>0</v>
      </c>
      <c r="H326" s="26">
        <f t="shared" si="106"/>
        <v>0</v>
      </c>
    </row>
    <row r="327" spans="1:8" s="3" customFormat="1" ht="51" customHeight="1" outlineLevel="1">
      <c r="A327" s="11" t="s">
        <v>22</v>
      </c>
      <c r="B327" s="12" t="s">
        <v>652</v>
      </c>
      <c r="C327" s="12" t="s">
        <v>96</v>
      </c>
      <c r="D327" s="12" t="s">
        <v>152</v>
      </c>
      <c r="E327" s="12" t="s">
        <v>102</v>
      </c>
      <c r="F327" s="26">
        <v>143</v>
      </c>
      <c r="G327" s="26">
        <v>0</v>
      </c>
      <c r="H327" s="26">
        <v>0</v>
      </c>
    </row>
    <row r="328" spans="1:8" ht="139.5" customHeight="1" outlineLevel="4">
      <c r="A328" s="11" t="s">
        <v>212</v>
      </c>
      <c r="B328" s="12" t="s">
        <v>248</v>
      </c>
      <c r="C328" s="12"/>
      <c r="D328" s="12"/>
      <c r="E328" s="12"/>
      <c r="F328" s="26">
        <f>F329</f>
        <v>13082</v>
      </c>
      <c r="G328" s="26">
        <f t="shared" ref="G328:H328" si="107">G329</f>
        <v>13082</v>
      </c>
      <c r="H328" s="26">
        <f t="shared" si="107"/>
        <v>13082</v>
      </c>
    </row>
    <row r="329" spans="1:8" ht="50.25" customHeight="1" outlineLevel="3">
      <c r="A329" s="11" t="s">
        <v>22</v>
      </c>
      <c r="B329" s="12" t="s">
        <v>248</v>
      </c>
      <c r="C329" s="12" t="s">
        <v>96</v>
      </c>
      <c r="D329" s="12" t="s">
        <v>152</v>
      </c>
      <c r="E329" s="12" t="s">
        <v>102</v>
      </c>
      <c r="F329" s="26">
        <v>13082</v>
      </c>
      <c r="G329" s="26">
        <v>13082</v>
      </c>
      <c r="H329" s="26">
        <v>13082</v>
      </c>
    </row>
    <row r="330" spans="1:8" ht="126" outlineLevel="4">
      <c r="A330" s="11" t="s">
        <v>198</v>
      </c>
      <c r="B330" s="12" t="s">
        <v>249</v>
      </c>
      <c r="C330" s="12"/>
      <c r="D330" s="12"/>
      <c r="E330" s="12"/>
      <c r="F330" s="26">
        <f>F331</f>
        <v>336.89</v>
      </c>
      <c r="G330" s="26">
        <f t="shared" ref="G330:H330" si="108">G331</f>
        <v>336.89</v>
      </c>
      <c r="H330" s="26">
        <f t="shared" si="108"/>
        <v>336.89</v>
      </c>
    </row>
    <row r="331" spans="1:8" ht="46.5" customHeight="1" outlineLevel="3">
      <c r="A331" s="11" t="s">
        <v>22</v>
      </c>
      <c r="B331" s="12" t="s">
        <v>249</v>
      </c>
      <c r="C331" s="12" t="s">
        <v>96</v>
      </c>
      <c r="D331" s="12" t="s">
        <v>152</v>
      </c>
      <c r="E331" s="12" t="s">
        <v>102</v>
      </c>
      <c r="F331" s="26">
        <v>336.89</v>
      </c>
      <c r="G331" s="26">
        <v>336.89</v>
      </c>
      <c r="H331" s="26">
        <v>336.89</v>
      </c>
    </row>
    <row r="332" spans="1:8" ht="63" customHeight="1" outlineLevel="3">
      <c r="A332" s="22" t="s">
        <v>644</v>
      </c>
      <c r="B332" s="12" t="s">
        <v>645</v>
      </c>
      <c r="C332" s="12"/>
      <c r="D332" s="12"/>
      <c r="E332" s="12"/>
      <c r="F332" s="26">
        <f>F333</f>
        <v>5500</v>
      </c>
      <c r="G332" s="26">
        <f t="shared" ref="G332:H332" si="109">G333</f>
        <v>0</v>
      </c>
      <c r="H332" s="26">
        <f t="shared" si="109"/>
        <v>0</v>
      </c>
    </row>
    <row r="333" spans="1:8" ht="46.5" customHeight="1" outlineLevel="3">
      <c r="A333" s="11" t="s">
        <v>22</v>
      </c>
      <c r="B333" s="12" t="s">
        <v>645</v>
      </c>
      <c r="C333" s="12" t="s">
        <v>96</v>
      </c>
      <c r="D333" s="12" t="s">
        <v>152</v>
      </c>
      <c r="E333" s="12" t="s">
        <v>102</v>
      </c>
      <c r="F333" s="26">
        <v>5500</v>
      </c>
      <c r="G333" s="26">
        <v>0</v>
      </c>
      <c r="H333" s="26">
        <v>0</v>
      </c>
    </row>
    <row r="334" spans="1:8" ht="32.25" customHeight="1" outlineLevel="3">
      <c r="A334" s="11" t="s">
        <v>196</v>
      </c>
      <c r="B334" s="12" t="s">
        <v>653</v>
      </c>
      <c r="C334" s="12"/>
      <c r="D334" s="12"/>
      <c r="E334" s="12"/>
      <c r="F334" s="26">
        <f>F335</f>
        <v>36</v>
      </c>
      <c r="G334" s="26">
        <f t="shared" ref="G334:H334" si="110">G335</f>
        <v>0</v>
      </c>
      <c r="H334" s="26">
        <f t="shared" si="110"/>
        <v>0</v>
      </c>
    </row>
    <row r="335" spans="1:8" ht="46.5" customHeight="1" outlineLevel="3">
      <c r="A335" s="11" t="s">
        <v>22</v>
      </c>
      <c r="B335" s="12" t="s">
        <v>653</v>
      </c>
      <c r="C335" s="12" t="s">
        <v>96</v>
      </c>
      <c r="D335" s="12" t="s">
        <v>152</v>
      </c>
      <c r="E335" s="12" t="s">
        <v>102</v>
      </c>
      <c r="F335" s="26">
        <v>36</v>
      </c>
      <c r="G335" s="26">
        <v>0</v>
      </c>
      <c r="H335" s="26">
        <v>0</v>
      </c>
    </row>
    <row r="336" spans="1:8" ht="47.25" outlineLevel="3">
      <c r="A336" s="11" t="s">
        <v>213</v>
      </c>
      <c r="B336" s="12" t="s">
        <v>250</v>
      </c>
      <c r="C336" s="12"/>
      <c r="D336" s="12"/>
      <c r="E336" s="12"/>
      <c r="F336" s="26">
        <f>F337</f>
        <v>3300</v>
      </c>
      <c r="G336" s="26">
        <f t="shared" ref="G336:H336" si="111">G337</f>
        <v>3300</v>
      </c>
      <c r="H336" s="26">
        <f t="shared" si="111"/>
        <v>3300</v>
      </c>
    </row>
    <row r="337" spans="1:8" ht="46.5" customHeight="1" outlineLevel="4">
      <c r="A337" s="11" t="s">
        <v>22</v>
      </c>
      <c r="B337" s="12" t="s">
        <v>250</v>
      </c>
      <c r="C337" s="12" t="s">
        <v>96</v>
      </c>
      <c r="D337" s="12" t="s">
        <v>152</v>
      </c>
      <c r="E337" s="12" t="s">
        <v>102</v>
      </c>
      <c r="F337" s="26">
        <v>3300</v>
      </c>
      <c r="G337" s="26">
        <v>3300</v>
      </c>
      <c r="H337" s="26">
        <v>3300</v>
      </c>
    </row>
    <row r="338" spans="1:8" ht="64.5" customHeight="1" outlineLevel="4">
      <c r="A338" s="16" t="s">
        <v>650</v>
      </c>
      <c r="B338" s="19" t="s">
        <v>654</v>
      </c>
      <c r="C338" s="12"/>
      <c r="D338" s="12"/>
      <c r="E338" s="12"/>
      <c r="F338" s="26">
        <f>F339</f>
        <v>289.47399999999999</v>
      </c>
      <c r="G338" s="26">
        <f t="shared" ref="G338:H338" si="112">G339</f>
        <v>0</v>
      </c>
      <c r="H338" s="26">
        <f t="shared" si="112"/>
        <v>0</v>
      </c>
    </row>
    <row r="339" spans="1:8" ht="46.5" customHeight="1" outlineLevel="4">
      <c r="A339" s="16" t="s">
        <v>22</v>
      </c>
      <c r="B339" s="19" t="s">
        <v>654</v>
      </c>
      <c r="C339" s="12" t="s">
        <v>96</v>
      </c>
      <c r="D339" s="12" t="s">
        <v>152</v>
      </c>
      <c r="E339" s="12" t="s">
        <v>102</v>
      </c>
      <c r="F339" s="26">
        <v>289.47399999999999</v>
      </c>
      <c r="G339" s="26">
        <v>0</v>
      </c>
      <c r="H339" s="26">
        <v>0</v>
      </c>
    </row>
    <row r="340" spans="1:8" ht="47.25" outlineLevel="4">
      <c r="A340" s="11" t="s">
        <v>214</v>
      </c>
      <c r="B340" s="12" t="s">
        <v>251</v>
      </c>
      <c r="C340" s="12"/>
      <c r="D340" s="12"/>
      <c r="E340" s="12"/>
      <c r="F340" s="26">
        <f>F341</f>
        <v>97337.5</v>
      </c>
      <c r="G340" s="26">
        <f t="shared" ref="G340:H340" si="113">G341</f>
        <v>102741.9</v>
      </c>
      <c r="H340" s="26">
        <f t="shared" si="113"/>
        <v>104664.4</v>
      </c>
    </row>
    <row r="341" spans="1:8" ht="46.5" customHeight="1" outlineLevel="3">
      <c r="A341" s="11" t="s">
        <v>22</v>
      </c>
      <c r="B341" s="12" t="s">
        <v>251</v>
      </c>
      <c r="C341" s="12" t="s">
        <v>96</v>
      </c>
      <c r="D341" s="12" t="s">
        <v>152</v>
      </c>
      <c r="E341" s="12" t="s">
        <v>102</v>
      </c>
      <c r="F341" s="26">
        <f>97256.5+81</f>
        <v>97337.5</v>
      </c>
      <c r="G341" s="26">
        <v>102741.9</v>
      </c>
      <c r="H341" s="26">
        <v>104664.4</v>
      </c>
    </row>
    <row r="342" spans="1:8" ht="47.25" outlineLevel="4">
      <c r="A342" s="11" t="s">
        <v>215</v>
      </c>
      <c r="B342" s="12" t="s">
        <v>252</v>
      </c>
      <c r="C342" s="12"/>
      <c r="D342" s="12"/>
      <c r="E342" s="12"/>
      <c r="F342" s="26">
        <f>F343+F345+F348</f>
        <v>50427.199999999997</v>
      </c>
      <c r="G342" s="26">
        <f t="shared" ref="G342:H342" si="114">G343+G345+G348</f>
        <v>50524.200000000004</v>
      </c>
      <c r="H342" s="26">
        <f t="shared" si="114"/>
        <v>50856.5</v>
      </c>
    </row>
    <row r="343" spans="1:8" ht="31.5" outlineLevel="4">
      <c r="A343" s="11" t="s">
        <v>216</v>
      </c>
      <c r="B343" s="12" t="s">
        <v>253</v>
      </c>
      <c r="C343" s="12"/>
      <c r="D343" s="12"/>
      <c r="E343" s="12"/>
      <c r="F343" s="26">
        <f>F344</f>
        <v>0</v>
      </c>
      <c r="G343" s="26">
        <f t="shared" ref="G343:H343" si="115">G344</f>
        <v>90</v>
      </c>
      <c r="H343" s="26">
        <f t="shared" si="115"/>
        <v>0</v>
      </c>
    </row>
    <row r="344" spans="1:8" ht="31.5" outlineLevel="3">
      <c r="A344" s="11" t="s">
        <v>47</v>
      </c>
      <c r="B344" s="12" t="s">
        <v>253</v>
      </c>
      <c r="C344" s="12" t="s">
        <v>98</v>
      </c>
      <c r="D344" s="12" t="s">
        <v>152</v>
      </c>
      <c r="E344" s="12" t="s">
        <v>100</v>
      </c>
      <c r="F344" s="26">
        <v>0</v>
      </c>
      <c r="G344" s="26">
        <v>90</v>
      </c>
      <c r="H344" s="26">
        <v>0</v>
      </c>
    </row>
    <row r="345" spans="1:8" s="3" customFormat="1" ht="173.25" outlineLevel="1">
      <c r="A345" s="11" t="s">
        <v>155</v>
      </c>
      <c r="B345" s="12" t="s">
        <v>254</v>
      </c>
      <c r="C345" s="12"/>
      <c r="D345" s="12"/>
      <c r="E345" s="12"/>
      <c r="F345" s="26">
        <f>F346+F347</f>
        <v>4250</v>
      </c>
      <c r="G345" s="26">
        <f t="shared" ref="G345:H345" si="116">G346+G347</f>
        <v>4250</v>
      </c>
      <c r="H345" s="26">
        <f t="shared" si="116"/>
        <v>4250</v>
      </c>
    </row>
    <row r="346" spans="1:8" ht="92.25" customHeight="1" outlineLevel="2">
      <c r="A346" s="11" t="s">
        <v>15</v>
      </c>
      <c r="B346" s="12" t="s">
        <v>254</v>
      </c>
      <c r="C346" s="12" t="s">
        <v>93</v>
      </c>
      <c r="D346" s="12" t="s">
        <v>152</v>
      </c>
      <c r="E346" s="12" t="s">
        <v>100</v>
      </c>
      <c r="F346" s="26">
        <v>587.29999999999995</v>
      </c>
      <c r="G346" s="26">
        <v>587.29999999999995</v>
      </c>
      <c r="H346" s="26">
        <v>587.29999999999995</v>
      </c>
    </row>
    <row r="347" spans="1:8" ht="63" outlineLevel="4">
      <c r="A347" s="11" t="s">
        <v>22</v>
      </c>
      <c r="B347" s="12" t="s">
        <v>254</v>
      </c>
      <c r="C347" s="12" t="s">
        <v>96</v>
      </c>
      <c r="D347" s="12" t="s">
        <v>152</v>
      </c>
      <c r="E347" s="12" t="s">
        <v>100</v>
      </c>
      <c r="F347" s="26">
        <f>2202.7+1460</f>
        <v>3662.7</v>
      </c>
      <c r="G347" s="26">
        <f>2202.7+1460</f>
        <v>3662.7</v>
      </c>
      <c r="H347" s="26">
        <f>2202.7+1460</f>
        <v>3662.7</v>
      </c>
    </row>
    <row r="348" spans="1:8" ht="47.25" outlineLevel="4">
      <c r="A348" s="11" t="s">
        <v>156</v>
      </c>
      <c r="B348" s="12" t="s">
        <v>255</v>
      </c>
      <c r="C348" s="12"/>
      <c r="D348" s="12"/>
      <c r="E348" s="12"/>
      <c r="F348" s="26">
        <f>F349+F350+F351+F352</f>
        <v>46177.2</v>
      </c>
      <c r="G348" s="26">
        <f t="shared" ref="G348:H348" si="117">G349+G350+G351+G352</f>
        <v>46184.200000000004</v>
      </c>
      <c r="H348" s="26">
        <f t="shared" si="117"/>
        <v>46606.5</v>
      </c>
    </row>
    <row r="349" spans="1:8" ht="93" customHeight="1" outlineLevel="4">
      <c r="A349" s="11" t="s">
        <v>15</v>
      </c>
      <c r="B349" s="12" t="s">
        <v>255</v>
      </c>
      <c r="C349" s="12" t="s">
        <v>93</v>
      </c>
      <c r="D349" s="12" t="s">
        <v>152</v>
      </c>
      <c r="E349" s="12" t="s">
        <v>100</v>
      </c>
      <c r="F349" s="26">
        <v>5103.8999999999996</v>
      </c>
      <c r="G349" s="26">
        <v>5200.5</v>
      </c>
      <c r="H349" s="26">
        <v>5514.5</v>
      </c>
    </row>
    <row r="350" spans="1:8" ht="47.25" outlineLevel="6">
      <c r="A350" s="11" t="s">
        <v>16</v>
      </c>
      <c r="B350" s="12" t="s">
        <v>255</v>
      </c>
      <c r="C350" s="12" t="s">
        <v>94</v>
      </c>
      <c r="D350" s="12" t="s">
        <v>152</v>
      </c>
      <c r="E350" s="12" t="s">
        <v>100</v>
      </c>
      <c r="F350" s="26">
        <f>843.8-0.1-81</f>
        <v>762.69999999999993</v>
      </c>
      <c r="G350" s="26">
        <v>843.8</v>
      </c>
      <c r="H350" s="26">
        <v>843.8</v>
      </c>
    </row>
    <row r="351" spans="1:8" ht="47.25" customHeight="1" outlineLevel="2">
      <c r="A351" s="11" t="s">
        <v>22</v>
      </c>
      <c r="B351" s="12" t="s">
        <v>255</v>
      </c>
      <c r="C351" s="12" t="s">
        <v>96</v>
      </c>
      <c r="D351" s="12" t="s">
        <v>152</v>
      </c>
      <c r="E351" s="12" t="s">
        <v>100</v>
      </c>
      <c r="F351" s="26">
        <f>28252+11279.2+478.4</f>
        <v>40009.599999999999</v>
      </c>
      <c r="G351" s="26">
        <f>28252+11586.9</f>
        <v>39838.9</v>
      </c>
      <c r="H351" s="26">
        <f>28252+11695.2</f>
        <v>39947.199999999997</v>
      </c>
    </row>
    <row r="352" spans="1:8" outlineLevel="4">
      <c r="A352" s="11" t="s">
        <v>18</v>
      </c>
      <c r="B352" s="12" t="s">
        <v>255</v>
      </c>
      <c r="C352" s="12" t="s">
        <v>95</v>
      </c>
      <c r="D352" s="12" t="s">
        <v>152</v>
      </c>
      <c r="E352" s="12" t="s">
        <v>100</v>
      </c>
      <c r="F352" s="26">
        <v>301</v>
      </c>
      <c r="G352" s="26">
        <v>301</v>
      </c>
      <c r="H352" s="26">
        <v>301</v>
      </c>
    </row>
    <row r="353" spans="1:8" ht="31.5" outlineLevel="3">
      <c r="A353" s="11" t="s">
        <v>217</v>
      </c>
      <c r="B353" s="12" t="s">
        <v>256</v>
      </c>
      <c r="C353" s="12"/>
      <c r="D353" s="12"/>
      <c r="E353" s="12"/>
      <c r="F353" s="26">
        <f>F354+F357+F359+F361</f>
        <v>20476</v>
      </c>
      <c r="G353" s="26">
        <f t="shared" ref="G353:H353" si="118">G354+G357+G359+G361</f>
        <v>20476</v>
      </c>
      <c r="H353" s="26">
        <f t="shared" si="118"/>
        <v>20476</v>
      </c>
    </row>
    <row r="354" spans="1:8" ht="78.75" outlineLevel="4">
      <c r="A354" s="11" t="s">
        <v>218</v>
      </c>
      <c r="B354" s="12" t="s">
        <v>257</v>
      </c>
      <c r="C354" s="12"/>
      <c r="D354" s="12"/>
      <c r="E354" s="12"/>
      <c r="F354" s="26">
        <f>F355+F356</f>
        <v>5626</v>
      </c>
      <c r="G354" s="26">
        <f t="shared" ref="G354:H354" si="119">G355+G356</f>
        <v>5626</v>
      </c>
      <c r="H354" s="26">
        <f t="shared" si="119"/>
        <v>5626</v>
      </c>
    </row>
    <row r="355" spans="1:8" ht="31.5" outlineLevel="2">
      <c r="A355" s="11" t="s">
        <v>47</v>
      </c>
      <c r="B355" s="12" t="s">
        <v>257</v>
      </c>
      <c r="C355" s="12" t="s">
        <v>98</v>
      </c>
      <c r="D355" s="12" t="s">
        <v>152</v>
      </c>
      <c r="E355" s="12" t="s">
        <v>152</v>
      </c>
      <c r="F355" s="26">
        <v>660</v>
      </c>
      <c r="G355" s="26">
        <v>660</v>
      </c>
      <c r="H355" s="26">
        <v>660</v>
      </c>
    </row>
    <row r="356" spans="1:8" s="3" customFormat="1" ht="46.5" customHeight="1" outlineLevel="1">
      <c r="A356" s="11" t="s">
        <v>22</v>
      </c>
      <c r="B356" s="12" t="s">
        <v>257</v>
      </c>
      <c r="C356" s="12" t="s">
        <v>96</v>
      </c>
      <c r="D356" s="12" t="s">
        <v>152</v>
      </c>
      <c r="E356" s="12" t="s">
        <v>152</v>
      </c>
      <c r="F356" s="26">
        <v>4966</v>
      </c>
      <c r="G356" s="26">
        <v>4966</v>
      </c>
      <c r="H356" s="26">
        <v>4966</v>
      </c>
    </row>
    <row r="357" spans="1:8" ht="94.5" outlineLevel="4">
      <c r="A357" s="11" t="s">
        <v>219</v>
      </c>
      <c r="B357" s="12" t="s">
        <v>258</v>
      </c>
      <c r="C357" s="12"/>
      <c r="D357" s="12"/>
      <c r="E357" s="12"/>
      <c r="F357" s="26">
        <f>F358</f>
        <v>4309</v>
      </c>
      <c r="G357" s="26">
        <f t="shared" ref="G357:H357" si="120">G358</f>
        <v>4309</v>
      </c>
      <c r="H357" s="26">
        <f t="shared" si="120"/>
        <v>4309</v>
      </c>
    </row>
    <row r="358" spans="1:8" ht="45.75" customHeight="1" outlineLevel="6">
      <c r="A358" s="11" t="s">
        <v>22</v>
      </c>
      <c r="B358" s="12" t="s">
        <v>258</v>
      </c>
      <c r="C358" s="12" t="s">
        <v>96</v>
      </c>
      <c r="D358" s="12" t="s">
        <v>152</v>
      </c>
      <c r="E358" s="12" t="s">
        <v>152</v>
      </c>
      <c r="F358" s="26">
        <v>4309</v>
      </c>
      <c r="G358" s="26">
        <v>4309</v>
      </c>
      <c r="H358" s="26">
        <v>4309</v>
      </c>
    </row>
    <row r="359" spans="1:8" ht="47.25" outlineLevel="3">
      <c r="A359" s="11" t="s">
        <v>220</v>
      </c>
      <c r="B359" s="12" t="s">
        <v>259</v>
      </c>
      <c r="C359" s="12"/>
      <c r="D359" s="12"/>
      <c r="E359" s="12"/>
      <c r="F359" s="26">
        <f>F360</f>
        <v>9463</v>
      </c>
      <c r="G359" s="26">
        <f t="shared" ref="G359:H359" si="121">G360</f>
        <v>9463</v>
      </c>
      <c r="H359" s="26">
        <f t="shared" si="121"/>
        <v>9463</v>
      </c>
    </row>
    <row r="360" spans="1:8" ht="46.5" customHeight="1" outlineLevel="4">
      <c r="A360" s="11" t="s">
        <v>22</v>
      </c>
      <c r="B360" s="12" t="s">
        <v>259</v>
      </c>
      <c r="C360" s="12" t="s">
        <v>96</v>
      </c>
      <c r="D360" s="12" t="s">
        <v>152</v>
      </c>
      <c r="E360" s="12" t="s">
        <v>152</v>
      </c>
      <c r="F360" s="26">
        <v>9463</v>
      </c>
      <c r="G360" s="26">
        <v>9463</v>
      </c>
      <c r="H360" s="26">
        <v>9463</v>
      </c>
    </row>
    <row r="361" spans="1:8" ht="63" outlineLevel="4">
      <c r="A361" s="11" t="s">
        <v>221</v>
      </c>
      <c r="B361" s="12" t="s">
        <v>260</v>
      </c>
      <c r="C361" s="12"/>
      <c r="D361" s="12"/>
      <c r="E361" s="12"/>
      <c r="F361" s="26">
        <f>F362</f>
        <v>1078</v>
      </c>
      <c r="G361" s="26">
        <f t="shared" ref="G361:H361" si="122">G362</f>
        <v>1078</v>
      </c>
      <c r="H361" s="26">
        <f t="shared" si="122"/>
        <v>1078</v>
      </c>
    </row>
    <row r="362" spans="1:8" s="2" customFormat="1" ht="47.25" customHeight="1">
      <c r="A362" s="11" t="s">
        <v>22</v>
      </c>
      <c r="B362" s="12" t="s">
        <v>260</v>
      </c>
      <c r="C362" s="12" t="s">
        <v>96</v>
      </c>
      <c r="D362" s="12" t="s">
        <v>152</v>
      </c>
      <c r="E362" s="12" t="s">
        <v>152</v>
      </c>
      <c r="F362" s="26">
        <v>1078</v>
      </c>
      <c r="G362" s="26">
        <v>1078</v>
      </c>
      <c r="H362" s="26">
        <v>1078</v>
      </c>
    </row>
    <row r="363" spans="1:8" s="2" customFormat="1" ht="47.25" customHeight="1">
      <c r="A363" s="11" t="s">
        <v>541</v>
      </c>
      <c r="B363" s="12" t="s">
        <v>539</v>
      </c>
      <c r="C363" s="12"/>
      <c r="D363" s="12"/>
      <c r="E363" s="12"/>
      <c r="F363" s="26">
        <f>F364</f>
        <v>1673.1320000000001</v>
      </c>
      <c r="G363" s="26">
        <f t="shared" ref="G363:H364" si="123">G364</f>
        <v>0</v>
      </c>
      <c r="H363" s="26">
        <f t="shared" si="123"/>
        <v>0</v>
      </c>
    </row>
    <row r="364" spans="1:8" s="2" customFormat="1" ht="66" customHeight="1">
      <c r="A364" s="11" t="s">
        <v>542</v>
      </c>
      <c r="B364" s="12" t="s">
        <v>540</v>
      </c>
      <c r="C364" s="12"/>
      <c r="D364" s="12"/>
      <c r="E364" s="12"/>
      <c r="F364" s="26">
        <f>F365</f>
        <v>1673.1320000000001</v>
      </c>
      <c r="G364" s="26">
        <f t="shared" si="123"/>
        <v>0</v>
      </c>
      <c r="H364" s="26">
        <f t="shared" si="123"/>
        <v>0</v>
      </c>
    </row>
    <row r="365" spans="1:8" s="2" customFormat="1" ht="47.25" customHeight="1">
      <c r="A365" s="11" t="s">
        <v>22</v>
      </c>
      <c r="B365" s="12" t="s">
        <v>540</v>
      </c>
      <c r="C365" s="12" t="s">
        <v>96</v>
      </c>
      <c r="D365" s="12" t="s">
        <v>152</v>
      </c>
      <c r="E365" s="12" t="s">
        <v>102</v>
      </c>
      <c r="F365" s="26">
        <f>1656.4+16.732</f>
        <v>1673.1320000000001</v>
      </c>
      <c r="G365" s="26">
        <v>0</v>
      </c>
      <c r="H365" s="26">
        <v>0</v>
      </c>
    </row>
    <row r="366" spans="1:8" s="2" customFormat="1" ht="47.25" customHeight="1">
      <c r="A366" s="11" t="s">
        <v>536</v>
      </c>
      <c r="B366" s="12" t="s">
        <v>538</v>
      </c>
      <c r="C366" s="12"/>
      <c r="D366" s="12"/>
      <c r="E366" s="12"/>
      <c r="F366" s="26">
        <f>F367</f>
        <v>1532.6</v>
      </c>
      <c r="G366" s="26">
        <f t="shared" ref="G366:H366" si="124">G367</f>
        <v>0</v>
      </c>
      <c r="H366" s="26">
        <f t="shared" si="124"/>
        <v>0</v>
      </c>
    </row>
    <row r="367" spans="1:8" s="2" customFormat="1" ht="64.5" customHeight="1">
      <c r="A367" s="11" t="s">
        <v>208</v>
      </c>
      <c r="B367" s="12" t="s">
        <v>537</v>
      </c>
      <c r="C367" s="12"/>
      <c r="D367" s="12"/>
      <c r="E367" s="12"/>
      <c r="F367" s="26">
        <f>F368</f>
        <v>1532.6</v>
      </c>
      <c r="G367" s="26">
        <f t="shared" ref="G367:H367" si="125">G368</f>
        <v>0</v>
      </c>
      <c r="H367" s="26">
        <f t="shared" si="125"/>
        <v>0</v>
      </c>
    </row>
    <row r="368" spans="1:8" s="2" customFormat="1" ht="47.25" customHeight="1">
      <c r="A368" s="11" t="s">
        <v>22</v>
      </c>
      <c r="B368" s="12" t="s">
        <v>537</v>
      </c>
      <c r="C368" s="12" t="s">
        <v>96</v>
      </c>
      <c r="D368" s="12" t="s">
        <v>152</v>
      </c>
      <c r="E368" s="12" t="s">
        <v>102</v>
      </c>
      <c r="F368" s="26">
        <v>1532.6</v>
      </c>
      <c r="G368" s="26">
        <v>0</v>
      </c>
      <c r="H368" s="26">
        <v>0</v>
      </c>
    </row>
    <row r="369" spans="1:8" ht="47.25" outlineLevel="2">
      <c r="A369" s="9" t="s">
        <v>267</v>
      </c>
      <c r="B369" s="10" t="s">
        <v>261</v>
      </c>
      <c r="C369" s="10"/>
      <c r="D369" s="10"/>
      <c r="E369" s="10"/>
      <c r="F369" s="25">
        <f>F370+F380</f>
        <v>53129</v>
      </c>
      <c r="G369" s="25">
        <f t="shared" ref="G369:H369" si="126">G370+G380</f>
        <v>53129</v>
      </c>
      <c r="H369" s="25">
        <f t="shared" si="126"/>
        <v>53129</v>
      </c>
    </row>
    <row r="370" spans="1:8" ht="47.25" outlineLevel="3">
      <c r="A370" s="11" t="s">
        <v>268</v>
      </c>
      <c r="B370" s="12" t="s">
        <v>262</v>
      </c>
      <c r="C370" s="12"/>
      <c r="D370" s="12"/>
      <c r="E370" s="12"/>
      <c r="F370" s="26">
        <f>F371+F374+F377</f>
        <v>49891</v>
      </c>
      <c r="G370" s="26">
        <f t="shared" ref="G370:H370" si="127">G371+G374+G377</f>
        <v>49891</v>
      </c>
      <c r="H370" s="26">
        <f t="shared" si="127"/>
        <v>49891</v>
      </c>
    </row>
    <row r="371" spans="1:8" ht="78.75" outlineLevel="4">
      <c r="A371" s="11" t="s">
        <v>269</v>
      </c>
      <c r="B371" s="12" t="s">
        <v>263</v>
      </c>
      <c r="C371" s="12"/>
      <c r="D371" s="12"/>
      <c r="E371" s="12"/>
      <c r="F371" s="26">
        <f>F372+F373</f>
        <v>14602.714120000001</v>
      </c>
      <c r="G371" s="26">
        <f t="shared" ref="G371:H371" si="128">G372+G373</f>
        <v>15909</v>
      </c>
      <c r="H371" s="26">
        <f t="shared" si="128"/>
        <v>15909</v>
      </c>
    </row>
    <row r="372" spans="1:8" ht="47.25" outlineLevel="3">
      <c r="A372" s="11" t="s">
        <v>16</v>
      </c>
      <c r="B372" s="12" t="s">
        <v>263</v>
      </c>
      <c r="C372" s="12" t="s">
        <v>94</v>
      </c>
      <c r="D372" s="12" t="s">
        <v>106</v>
      </c>
      <c r="E372" s="12" t="s">
        <v>101</v>
      </c>
      <c r="F372" s="26">
        <v>109</v>
      </c>
      <c r="G372" s="26">
        <v>109</v>
      </c>
      <c r="H372" s="26">
        <v>109</v>
      </c>
    </row>
    <row r="373" spans="1:8" ht="31.5" outlineLevel="4">
      <c r="A373" s="11" t="s">
        <v>47</v>
      </c>
      <c r="B373" s="12" t="s">
        <v>263</v>
      </c>
      <c r="C373" s="12" t="s">
        <v>98</v>
      </c>
      <c r="D373" s="12" t="s">
        <v>106</v>
      </c>
      <c r="E373" s="12" t="s">
        <v>101</v>
      </c>
      <c r="F373" s="26">
        <f>15800-1306.28588</f>
        <v>14493.714120000001</v>
      </c>
      <c r="G373" s="26">
        <v>15800</v>
      </c>
      <c r="H373" s="26">
        <v>15800</v>
      </c>
    </row>
    <row r="374" spans="1:8" ht="79.5" customHeight="1" outlineLevel="4">
      <c r="A374" s="11" t="s">
        <v>270</v>
      </c>
      <c r="B374" s="12" t="s">
        <v>574</v>
      </c>
      <c r="C374" s="12"/>
      <c r="D374" s="12"/>
      <c r="E374" s="12"/>
      <c r="F374" s="26">
        <f>F375+F376</f>
        <v>19247.174999999999</v>
      </c>
      <c r="G374" s="26">
        <f t="shared" ref="G374:H374" si="129">G375+G376</f>
        <v>18488</v>
      </c>
      <c r="H374" s="26">
        <f t="shared" si="129"/>
        <v>18488</v>
      </c>
    </row>
    <row r="375" spans="1:8" ht="47.25" outlineLevel="4">
      <c r="A375" s="11" t="s">
        <v>16</v>
      </c>
      <c r="B375" s="12" t="s">
        <v>574</v>
      </c>
      <c r="C375" s="12" t="s">
        <v>94</v>
      </c>
      <c r="D375" s="12" t="s">
        <v>106</v>
      </c>
      <c r="E375" s="12" t="s">
        <v>101</v>
      </c>
      <c r="F375" s="26">
        <v>169</v>
      </c>
      <c r="G375" s="26">
        <v>169</v>
      </c>
      <c r="H375" s="26">
        <v>169</v>
      </c>
    </row>
    <row r="376" spans="1:8" ht="31.5" outlineLevel="4">
      <c r="A376" s="11" t="s">
        <v>47</v>
      </c>
      <c r="B376" s="12" t="s">
        <v>574</v>
      </c>
      <c r="C376" s="12" t="s">
        <v>98</v>
      </c>
      <c r="D376" s="12" t="s">
        <v>106</v>
      </c>
      <c r="E376" s="12" t="s">
        <v>101</v>
      </c>
      <c r="F376" s="26">
        <f>18319+759.175</f>
        <v>19078.174999999999</v>
      </c>
      <c r="G376" s="26">
        <v>18319</v>
      </c>
      <c r="H376" s="26">
        <v>18319</v>
      </c>
    </row>
    <row r="377" spans="1:8" ht="78.75" outlineLevel="4">
      <c r="A377" s="11" t="s">
        <v>271</v>
      </c>
      <c r="B377" s="12" t="s">
        <v>264</v>
      </c>
      <c r="C377" s="12"/>
      <c r="D377" s="12"/>
      <c r="E377" s="12"/>
      <c r="F377" s="26">
        <f>F378+F379</f>
        <v>16041.11088</v>
      </c>
      <c r="G377" s="26">
        <f t="shared" ref="G377:H377" si="130">G378+G379</f>
        <v>15494</v>
      </c>
      <c r="H377" s="26">
        <f t="shared" si="130"/>
        <v>15494</v>
      </c>
    </row>
    <row r="378" spans="1:8" ht="47.25" outlineLevel="3">
      <c r="A378" s="11" t="s">
        <v>16</v>
      </c>
      <c r="B378" s="12" t="s">
        <v>264</v>
      </c>
      <c r="C378" s="12" t="s">
        <v>94</v>
      </c>
      <c r="D378" s="12" t="s">
        <v>106</v>
      </c>
      <c r="E378" s="12" t="s">
        <v>101</v>
      </c>
      <c r="F378" s="26">
        <v>144</v>
      </c>
      <c r="G378" s="26">
        <v>144</v>
      </c>
      <c r="H378" s="26">
        <v>144</v>
      </c>
    </row>
    <row r="379" spans="1:8" ht="31.5" outlineLevel="4">
      <c r="A379" s="11" t="s">
        <v>47</v>
      </c>
      <c r="B379" s="12" t="s">
        <v>264</v>
      </c>
      <c r="C379" s="12" t="s">
        <v>98</v>
      </c>
      <c r="D379" s="12" t="s">
        <v>106</v>
      </c>
      <c r="E379" s="12" t="s">
        <v>101</v>
      </c>
      <c r="F379" s="26">
        <f>15350+547.11088</f>
        <v>15897.11088</v>
      </c>
      <c r="G379" s="26">
        <v>15350</v>
      </c>
      <c r="H379" s="26">
        <v>15350</v>
      </c>
    </row>
    <row r="380" spans="1:8" ht="47.25" outlineLevel="3">
      <c r="A380" s="11" t="s">
        <v>272</v>
      </c>
      <c r="B380" s="12" t="s">
        <v>265</v>
      </c>
      <c r="C380" s="12"/>
      <c r="D380" s="12"/>
      <c r="E380" s="12"/>
      <c r="F380" s="26">
        <f>F381</f>
        <v>3238</v>
      </c>
      <c r="G380" s="26">
        <f t="shared" ref="G380:H380" si="131">G381</f>
        <v>3238</v>
      </c>
      <c r="H380" s="26">
        <f t="shared" si="131"/>
        <v>3238</v>
      </c>
    </row>
    <row r="381" spans="1:8" ht="63" outlineLevel="4">
      <c r="A381" s="11" t="s">
        <v>273</v>
      </c>
      <c r="B381" s="12" t="s">
        <v>266</v>
      </c>
      <c r="C381" s="12"/>
      <c r="D381" s="12"/>
      <c r="E381" s="12"/>
      <c r="F381" s="26">
        <f>F382+F383</f>
        <v>3238</v>
      </c>
      <c r="G381" s="26">
        <f t="shared" ref="G381:H381" si="132">G382+G383</f>
        <v>3238</v>
      </c>
      <c r="H381" s="26">
        <f t="shared" si="132"/>
        <v>3238</v>
      </c>
    </row>
    <row r="382" spans="1:8" ht="93.75" customHeight="1" outlineLevel="2">
      <c r="A382" s="11" t="s">
        <v>15</v>
      </c>
      <c r="B382" s="12" t="s">
        <v>266</v>
      </c>
      <c r="C382" s="12" t="s">
        <v>93</v>
      </c>
      <c r="D382" s="12" t="s">
        <v>106</v>
      </c>
      <c r="E382" s="12" t="s">
        <v>185</v>
      </c>
      <c r="F382" s="26">
        <v>2759.9</v>
      </c>
      <c r="G382" s="26">
        <v>2759.9</v>
      </c>
      <c r="H382" s="26">
        <v>2759.9</v>
      </c>
    </row>
    <row r="383" spans="1:8" ht="47.25" outlineLevel="3">
      <c r="A383" s="11" t="s">
        <v>16</v>
      </c>
      <c r="B383" s="12" t="s">
        <v>266</v>
      </c>
      <c r="C383" s="12" t="s">
        <v>94</v>
      </c>
      <c r="D383" s="12" t="s">
        <v>106</v>
      </c>
      <c r="E383" s="12" t="s">
        <v>185</v>
      </c>
      <c r="F383" s="26">
        <v>478.1</v>
      </c>
      <c r="G383" s="26">
        <v>478.1</v>
      </c>
      <c r="H383" s="26">
        <v>478.1</v>
      </c>
    </row>
    <row r="384" spans="1:8" ht="47.25" outlineLevel="4">
      <c r="A384" s="9" t="s">
        <v>274</v>
      </c>
      <c r="B384" s="10" t="s">
        <v>276</v>
      </c>
      <c r="C384" s="10"/>
      <c r="D384" s="10"/>
      <c r="E384" s="10"/>
      <c r="F384" s="25">
        <f>F385</f>
        <v>38661.5</v>
      </c>
      <c r="G384" s="25">
        <f t="shared" ref="G384:H384" si="133">G385</f>
        <v>38661.5</v>
      </c>
      <c r="H384" s="25">
        <f t="shared" si="133"/>
        <v>38661.5</v>
      </c>
    </row>
    <row r="385" spans="1:8" ht="47.25" outlineLevel="4">
      <c r="A385" s="11" t="s">
        <v>13</v>
      </c>
      <c r="B385" s="12" t="s">
        <v>278</v>
      </c>
      <c r="C385" s="12"/>
      <c r="D385" s="12"/>
      <c r="E385" s="12"/>
      <c r="F385" s="26">
        <f>F386+F390+F393+F397</f>
        <v>38661.5</v>
      </c>
      <c r="G385" s="26">
        <f t="shared" ref="G385:H385" si="134">G386+G390+G393+G397</f>
        <v>38661.5</v>
      </c>
      <c r="H385" s="26">
        <f t="shared" si="134"/>
        <v>38661.5</v>
      </c>
    </row>
    <row r="386" spans="1:8" s="2" customFormat="1" ht="32.25" customHeight="1">
      <c r="A386" s="11" t="s">
        <v>14</v>
      </c>
      <c r="B386" s="12" t="s">
        <v>279</v>
      </c>
      <c r="C386" s="12"/>
      <c r="D386" s="12"/>
      <c r="E386" s="12"/>
      <c r="F386" s="26">
        <f>F387+F388+F389</f>
        <v>9205</v>
      </c>
      <c r="G386" s="26">
        <f t="shared" ref="G386:H386" si="135">G387+G388+G389</f>
        <v>9205</v>
      </c>
      <c r="H386" s="26">
        <f t="shared" si="135"/>
        <v>9205</v>
      </c>
    </row>
    <row r="387" spans="1:8" s="3" customFormat="1" ht="96" customHeight="1" outlineLevel="1">
      <c r="A387" s="11" t="s">
        <v>15</v>
      </c>
      <c r="B387" s="12" t="s">
        <v>279</v>
      </c>
      <c r="C387" s="12" t="s">
        <v>93</v>
      </c>
      <c r="D387" s="12" t="s">
        <v>152</v>
      </c>
      <c r="E387" s="12" t="s">
        <v>105</v>
      </c>
      <c r="F387" s="26">
        <f>8310-96.8</f>
        <v>8213.2000000000007</v>
      </c>
      <c r="G387" s="26">
        <v>8310</v>
      </c>
      <c r="H387" s="26">
        <v>8310</v>
      </c>
    </row>
    <row r="388" spans="1:8" ht="48.75" customHeight="1" outlineLevel="4">
      <c r="A388" s="11" t="s">
        <v>16</v>
      </c>
      <c r="B388" s="12" t="s">
        <v>279</v>
      </c>
      <c r="C388" s="12" t="s">
        <v>94</v>
      </c>
      <c r="D388" s="12" t="s">
        <v>152</v>
      </c>
      <c r="E388" s="12" t="s">
        <v>105</v>
      </c>
      <c r="F388" s="26">
        <f>870+96.8</f>
        <v>966.8</v>
      </c>
      <c r="G388" s="26">
        <v>870</v>
      </c>
      <c r="H388" s="26">
        <v>870</v>
      </c>
    </row>
    <row r="389" spans="1:8" outlineLevel="2">
      <c r="A389" s="11" t="s">
        <v>18</v>
      </c>
      <c r="B389" s="12" t="s">
        <v>279</v>
      </c>
      <c r="C389" s="12" t="s">
        <v>95</v>
      </c>
      <c r="D389" s="12" t="s">
        <v>152</v>
      </c>
      <c r="E389" s="12" t="s">
        <v>105</v>
      </c>
      <c r="F389" s="26">
        <v>25</v>
      </c>
      <c r="G389" s="26">
        <v>25</v>
      </c>
      <c r="H389" s="26">
        <v>25</v>
      </c>
    </row>
    <row r="390" spans="1:8" ht="63" outlineLevel="6">
      <c r="A390" s="11" t="s">
        <v>195</v>
      </c>
      <c r="B390" s="12" t="s">
        <v>280</v>
      </c>
      <c r="C390" s="12"/>
      <c r="D390" s="12"/>
      <c r="E390" s="12"/>
      <c r="F390" s="26">
        <f>F391+F392</f>
        <v>3819.7</v>
      </c>
      <c r="G390" s="26">
        <f t="shared" ref="G390:H390" si="136">G391+G392</f>
        <v>3819.7</v>
      </c>
      <c r="H390" s="26">
        <f t="shared" si="136"/>
        <v>3819.7</v>
      </c>
    </row>
    <row r="391" spans="1:8" ht="47.25" outlineLevel="2">
      <c r="A391" s="11" t="s">
        <v>16</v>
      </c>
      <c r="B391" s="12" t="s">
        <v>280</v>
      </c>
      <c r="C391" s="12" t="s">
        <v>94</v>
      </c>
      <c r="D391" s="12" t="s">
        <v>106</v>
      </c>
      <c r="E391" s="12" t="s">
        <v>100</v>
      </c>
      <c r="F391" s="26">
        <v>55</v>
      </c>
      <c r="G391" s="26">
        <v>55</v>
      </c>
      <c r="H391" s="26">
        <v>55</v>
      </c>
    </row>
    <row r="392" spans="1:8" s="3" customFormat="1" ht="31.5" outlineLevel="1">
      <c r="A392" s="11" t="s">
        <v>47</v>
      </c>
      <c r="B392" s="12" t="s">
        <v>280</v>
      </c>
      <c r="C392" s="12" t="s">
        <v>98</v>
      </c>
      <c r="D392" s="12" t="s">
        <v>106</v>
      </c>
      <c r="E392" s="12" t="s">
        <v>100</v>
      </c>
      <c r="F392" s="26">
        <v>3764.7</v>
      </c>
      <c r="G392" s="26">
        <v>3764.7</v>
      </c>
      <c r="H392" s="26">
        <v>3764.7</v>
      </c>
    </row>
    <row r="393" spans="1:8" ht="31.5" customHeight="1" outlineLevel="4">
      <c r="A393" s="11" t="s">
        <v>19</v>
      </c>
      <c r="B393" s="12" t="s">
        <v>281</v>
      </c>
      <c r="C393" s="12"/>
      <c r="D393" s="12"/>
      <c r="E393" s="12"/>
      <c r="F393" s="26">
        <f>F394+F395+F396</f>
        <v>21453.200000000001</v>
      </c>
      <c r="G393" s="26">
        <f t="shared" ref="G393:H393" si="137">G394+G395+G396</f>
        <v>21453.200000000001</v>
      </c>
      <c r="H393" s="26">
        <f t="shared" si="137"/>
        <v>21453.200000000001</v>
      </c>
    </row>
    <row r="394" spans="1:8" ht="93" customHeight="1" outlineLevel="2">
      <c r="A394" s="11" t="s">
        <v>15</v>
      </c>
      <c r="B394" s="12" t="s">
        <v>281</v>
      </c>
      <c r="C394" s="12" t="s">
        <v>93</v>
      </c>
      <c r="D394" s="12" t="s">
        <v>152</v>
      </c>
      <c r="E394" s="12" t="s">
        <v>105</v>
      </c>
      <c r="F394" s="26">
        <v>19495.900000000001</v>
      </c>
      <c r="G394" s="26">
        <v>19495.900000000001</v>
      </c>
      <c r="H394" s="26">
        <v>19495.900000000001</v>
      </c>
    </row>
    <row r="395" spans="1:8" s="2" customFormat="1" ht="47.25">
      <c r="A395" s="11" t="s">
        <v>16</v>
      </c>
      <c r="B395" s="12" t="s">
        <v>281</v>
      </c>
      <c r="C395" s="12" t="s">
        <v>94</v>
      </c>
      <c r="D395" s="12" t="s">
        <v>152</v>
      </c>
      <c r="E395" s="12" t="s">
        <v>105</v>
      </c>
      <c r="F395" s="26">
        <v>1943.3</v>
      </c>
      <c r="G395" s="26">
        <v>1943.3</v>
      </c>
      <c r="H395" s="26">
        <v>1943.3</v>
      </c>
    </row>
    <row r="396" spans="1:8" outlineLevel="4">
      <c r="A396" s="11" t="s">
        <v>18</v>
      </c>
      <c r="B396" s="12" t="s">
        <v>281</v>
      </c>
      <c r="C396" s="12" t="s">
        <v>95</v>
      </c>
      <c r="D396" s="12" t="s">
        <v>152</v>
      </c>
      <c r="E396" s="12" t="s">
        <v>105</v>
      </c>
      <c r="F396" s="26">
        <v>14</v>
      </c>
      <c r="G396" s="26">
        <v>14</v>
      </c>
      <c r="H396" s="26">
        <v>14</v>
      </c>
    </row>
    <row r="397" spans="1:8" ht="48.75" customHeight="1" outlineLevel="3">
      <c r="A397" s="11" t="s">
        <v>275</v>
      </c>
      <c r="B397" s="12" t="s">
        <v>282</v>
      </c>
      <c r="C397" s="12"/>
      <c r="D397" s="12"/>
      <c r="E397" s="12"/>
      <c r="F397" s="26">
        <f>F398+F399+F400</f>
        <v>4183.6000000000004</v>
      </c>
      <c r="G397" s="26">
        <f t="shared" ref="G397:H397" si="138">G398+G399+G400</f>
        <v>4183.6000000000004</v>
      </c>
      <c r="H397" s="26">
        <f t="shared" si="138"/>
        <v>4183.6000000000004</v>
      </c>
    </row>
    <row r="398" spans="1:8" ht="93.75" customHeight="1" outlineLevel="4">
      <c r="A398" s="11" t="s">
        <v>15</v>
      </c>
      <c r="B398" s="12" t="s">
        <v>282</v>
      </c>
      <c r="C398" s="12" t="s">
        <v>93</v>
      </c>
      <c r="D398" s="12" t="s">
        <v>152</v>
      </c>
      <c r="E398" s="12" t="s">
        <v>105</v>
      </c>
      <c r="F398" s="26">
        <v>3545.6</v>
      </c>
      <c r="G398" s="26">
        <v>3545.6</v>
      </c>
      <c r="H398" s="26">
        <v>3545.6</v>
      </c>
    </row>
    <row r="399" spans="1:8" ht="47.25">
      <c r="A399" s="11" t="s">
        <v>16</v>
      </c>
      <c r="B399" s="12" t="s">
        <v>282</v>
      </c>
      <c r="C399" s="12" t="s">
        <v>94</v>
      </c>
      <c r="D399" s="12" t="s">
        <v>152</v>
      </c>
      <c r="E399" s="12" t="s">
        <v>105</v>
      </c>
      <c r="F399" s="26">
        <v>637</v>
      </c>
      <c r="G399" s="26">
        <v>637</v>
      </c>
      <c r="H399" s="26">
        <v>637</v>
      </c>
    </row>
    <row r="400" spans="1:8">
      <c r="A400" s="11" t="s">
        <v>18</v>
      </c>
      <c r="B400" s="12" t="s">
        <v>282</v>
      </c>
      <c r="C400" s="12" t="s">
        <v>95</v>
      </c>
      <c r="D400" s="12" t="s">
        <v>152</v>
      </c>
      <c r="E400" s="12" t="s">
        <v>105</v>
      </c>
      <c r="F400" s="26">
        <v>1</v>
      </c>
      <c r="G400" s="26">
        <v>1</v>
      </c>
      <c r="H400" s="26">
        <v>1</v>
      </c>
    </row>
    <row r="401" spans="1:8" ht="63">
      <c r="A401" s="7" t="s">
        <v>284</v>
      </c>
      <c r="B401" s="8" t="s">
        <v>312</v>
      </c>
      <c r="C401" s="8"/>
      <c r="D401" s="8"/>
      <c r="E401" s="8"/>
      <c r="F401" s="24">
        <f>F402+F423+F427+F443+F449+F455+F461</f>
        <v>103735.11459</v>
      </c>
      <c r="G401" s="24">
        <f>G402+G423+G427+G443+G449+G455+G468</f>
        <v>51927.6</v>
      </c>
      <c r="H401" s="24">
        <f>H402+H423+H427+H443+H449+H455+H468</f>
        <v>93148.800000000003</v>
      </c>
    </row>
    <row r="402" spans="1:8" ht="63" customHeight="1">
      <c r="A402" s="9" t="s">
        <v>285</v>
      </c>
      <c r="B402" s="10" t="s">
        <v>313</v>
      </c>
      <c r="C402" s="10"/>
      <c r="D402" s="10"/>
      <c r="E402" s="10"/>
      <c r="F402" s="25">
        <f>F403+F413+F418</f>
        <v>17658</v>
      </c>
      <c r="G402" s="25">
        <f t="shared" ref="G402:H402" si="139">G403+G413+G418</f>
        <v>11919.3</v>
      </c>
      <c r="H402" s="25">
        <f t="shared" si="139"/>
        <v>11919.3</v>
      </c>
    </row>
    <row r="403" spans="1:8" ht="47.25">
      <c r="A403" s="11" t="s">
        <v>13</v>
      </c>
      <c r="B403" s="12" t="s">
        <v>314</v>
      </c>
      <c r="C403" s="12"/>
      <c r="D403" s="12"/>
      <c r="E403" s="12"/>
      <c r="F403" s="26">
        <f>F404+F407+F409</f>
        <v>17135.3</v>
      </c>
      <c r="G403" s="26">
        <f t="shared" ref="G403:H403" si="140">G404+G407+G409</f>
        <v>11379.8</v>
      </c>
      <c r="H403" s="26">
        <f t="shared" si="140"/>
        <v>11379.8</v>
      </c>
    </row>
    <row r="404" spans="1:8" ht="34.5" customHeight="1">
      <c r="A404" s="11" t="s">
        <v>14</v>
      </c>
      <c r="B404" s="12" t="s">
        <v>315</v>
      </c>
      <c r="C404" s="12"/>
      <c r="D404" s="12"/>
      <c r="E404" s="12"/>
      <c r="F404" s="26">
        <f>F405+F406</f>
        <v>6812</v>
      </c>
      <c r="G404" s="26">
        <f t="shared" ref="G404:H404" si="141">G405+G406</f>
        <v>5637.4</v>
      </c>
      <c r="H404" s="26">
        <f t="shared" si="141"/>
        <v>5637.4</v>
      </c>
    </row>
    <row r="405" spans="1:8" ht="94.5" customHeight="1">
      <c r="A405" s="11" t="s">
        <v>15</v>
      </c>
      <c r="B405" s="12" t="s">
        <v>315</v>
      </c>
      <c r="C405" s="12" t="s">
        <v>93</v>
      </c>
      <c r="D405" s="12" t="s">
        <v>99</v>
      </c>
      <c r="E405" s="12" t="s">
        <v>99</v>
      </c>
      <c r="F405" s="26">
        <f>2926.7+2435.3+279.2+84.3</f>
        <v>5725.5</v>
      </c>
      <c r="G405" s="26">
        <f>2926.7+2435.3</f>
        <v>5362</v>
      </c>
      <c r="H405" s="26">
        <f>2926.7+2435.3</f>
        <v>5362</v>
      </c>
    </row>
    <row r="406" spans="1:8" ht="47.25">
      <c r="A406" s="11" t="s">
        <v>16</v>
      </c>
      <c r="B406" s="12" t="s">
        <v>315</v>
      </c>
      <c r="C406" s="12" t="s">
        <v>94</v>
      </c>
      <c r="D406" s="12" t="s">
        <v>99</v>
      </c>
      <c r="E406" s="12" t="s">
        <v>99</v>
      </c>
      <c r="F406" s="26">
        <f>275.4+811.1</f>
        <v>1086.5</v>
      </c>
      <c r="G406" s="26">
        <v>275.39999999999998</v>
      </c>
      <c r="H406" s="26">
        <v>275.39999999999998</v>
      </c>
    </row>
    <row r="407" spans="1:8" ht="78.75">
      <c r="A407" s="11" t="s">
        <v>286</v>
      </c>
      <c r="B407" s="12" t="s">
        <v>316</v>
      </c>
      <c r="C407" s="12"/>
      <c r="D407" s="12"/>
      <c r="E407" s="12"/>
      <c r="F407" s="26">
        <f>F408</f>
        <v>361</v>
      </c>
      <c r="G407" s="26">
        <f t="shared" ref="G407:H407" si="142">G408</f>
        <v>361</v>
      </c>
      <c r="H407" s="26">
        <f t="shared" si="142"/>
        <v>361</v>
      </c>
    </row>
    <row r="408" spans="1:8" ht="95.25" customHeight="1">
      <c r="A408" s="11" t="s">
        <v>15</v>
      </c>
      <c r="B408" s="12" t="s">
        <v>316</v>
      </c>
      <c r="C408" s="12" t="s">
        <v>93</v>
      </c>
      <c r="D408" s="12" t="s">
        <v>99</v>
      </c>
      <c r="E408" s="12" t="s">
        <v>99</v>
      </c>
      <c r="F408" s="26">
        <v>361</v>
      </c>
      <c r="G408" s="26">
        <v>361</v>
      </c>
      <c r="H408" s="26">
        <v>361</v>
      </c>
    </row>
    <row r="409" spans="1:8" ht="47.25" customHeight="1">
      <c r="A409" s="11" t="s">
        <v>287</v>
      </c>
      <c r="B409" s="12" t="s">
        <v>317</v>
      </c>
      <c r="C409" s="12"/>
      <c r="D409" s="12"/>
      <c r="E409" s="12"/>
      <c r="F409" s="26">
        <f>F410+F411+F412</f>
        <v>9962.2999999999993</v>
      </c>
      <c r="G409" s="26">
        <f t="shared" ref="G409:H409" si="143">G410+G411+G412</f>
        <v>5381.4000000000005</v>
      </c>
      <c r="H409" s="26">
        <f t="shared" si="143"/>
        <v>5381.4000000000005</v>
      </c>
    </row>
    <row r="410" spans="1:8" ht="93.75" customHeight="1">
      <c r="A410" s="11" t="s">
        <v>15</v>
      </c>
      <c r="B410" s="12" t="s">
        <v>317</v>
      </c>
      <c r="C410" s="12" t="s">
        <v>93</v>
      </c>
      <c r="D410" s="12" t="s">
        <v>99</v>
      </c>
      <c r="E410" s="12" t="s">
        <v>99</v>
      </c>
      <c r="F410" s="26">
        <f>3322.9+1249.7+979.3+295.7</f>
        <v>5847.6</v>
      </c>
      <c r="G410" s="26">
        <f>3322.9+1249.7</f>
        <v>4572.6000000000004</v>
      </c>
      <c r="H410" s="26">
        <f>3322.9+1249.7</f>
        <v>4572.6000000000004</v>
      </c>
    </row>
    <row r="411" spans="1:8" ht="47.25">
      <c r="A411" s="11" t="s">
        <v>16</v>
      </c>
      <c r="B411" s="12" t="s">
        <v>317</v>
      </c>
      <c r="C411" s="12" t="s">
        <v>94</v>
      </c>
      <c r="D411" s="12" t="s">
        <v>99</v>
      </c>
      <c r="E411" s="12" t="s">
        <v>99</v>
      </c>
      <c r="F411" s="26">
        <f>718.8+231+2374.9+350+440</f>
        <v>4114.7</v>
      </c>
      <c r="G411" s="26">
        <v>718.8</v>
      </c>
      <c r="H411" s="26">
        <v>718.8</v>
      </c>
    </row>
    <row r="412" spans="1:8">
      <c r="A412" s="11" t="s">
        <v>18</v>
      </c>
      <c r="B412" s="12" t="s">
        <v>317</v>
      </c>
      <c r="C412" s="12" t="s">
        <v>95</v>
      </c>
      <c r="D412" s="12" t="s">
        <v>99</v>
      </c>
      <c r="E412" s="12" t="s">
        <v>99</v>
      </c>
      <c r="F412" s="26">
        <f>90-90</f>
        <v>0</v>
      </c>
      <c r="G412" s="26">
        <v>90</v>
      </c>
      <c r="H412" s="26">
        <v>90</v>
      </c>
    </row>
    <row r="413" spans="1:8" ht="46.5" customHeight="1">
      <c r="A413" s="11" t="s">
        <v>288</v>
      </c>
      <c r="B413" s="12" t="s">
        <v>318</v>
      </c>
      <c r="C413" s="12"/>
      <c r="D413" s="12"/>
      <c r="E413" s="12"/>
      <c r="F413" s="26">
        <f>F414+F416</f>
        <v>447.5</v>
      </c>
      <c r="G413" s="26">
        <f t="shared" ref="G413:H413" si="144">G414+G416</f>
        <v>447.5</v>
      </c>
      <c r="H413" s="26">
        <f t="shared" si="144"/>
        <v>447.5</v>
      </c>
    </row>
    <row r="414" spans="1:8" ht="63">
      <c r="A414" s="11" t="s">
        <v>289</v>
      </c>
      <c r="B414" s="12" t="s">
        <v>319</v>
      </c>
      <c r="C414" s="12"/>
      <c r="D414" s="12"/>
      <c r="E414" s="12"/>
      <c r="F414" s="26">
        <f>F415</f>
        <v>234.5</v>
      </c>
      <c r="G414" s="26">
        <f t="shared" ref="G414:H414" si="145">G415</f>
        <v>234.5</v>
      </c>
      <c r="H414" s="26">
        <f t="shared" si="145"/>
        <v>234.5</v>
      </c>
    </row>
    <row r="415" spans="1:8" ht="47.25">
      <c r="A415" s="11" t="s">
        <v>16</v>
      </c>
      <c r="B415" s="12" t="s">
        <v>319</v>
      </c>
      <c r="C415" s="12" t="s">
        <v>94</v>
      </c>
      <c r="D415" s="12" t="s">
        <v>99</v>
      </c>
      <c r="E415" s="12" t="s">
        <v>104</v>
      </c>
      <c r="F415" s="26">
        <v>234.5</v>
      </c>
      <c r="G415" s="26">
        <v>234.5</v>
      </c>
      <c r="H415" s="26">
        <v>234.5</v>
      </c>
    </row>
    <row r="416" spans="1:8" ht="63">
      <c r="A416" s="11" t="s">
        <v>290</v>
      </c>
      <c r="B416" s="12" t="s">
        <v>320</v>
      </c>
      <c r="C416" s="12"/>
      <c r="D416" s="12"/>
      <c r="E416" s="12"/>
      <c r="F416" s="26">
        <f>F417</f>
        <v>213</v>
      </c>
      <c r="G416" s="26">
        <f t="shared" ref="G416:H416" si="146">G417</f>
        <v>213</v>
      </c>
      <c r="H416" s="26">
        <f t="shared" si="146"/>
        <v>213</v>
      </c>
    </row>
    <row r="417" spans="1:8" ht="47.25">
      <c r="A417" s="11" t="s">
        <v>16</v>
      </c>
      <c r="B417" s="12" t="s">
        <v>320</v>
      </c>
      <c r="C417" s="12" t="s">
        <v>94</v>
      </c>
      <c r="D417" s="12" t="s">
        <v>99</v>
      </c>
      <c r="E417" s="12" t="s">
        <v>104</v>
      </c>
      <c r="F417" s="26">
        <v>213</v>
      </c>
      <c r="G417" s="26">
        <v>213</v>
      </c>
      <c r="H417" s="26">
        <v>213</v>
      </c>
    </row>
    <row r="418" spans="1:8" ht="63">
      <c r="A418" s="11" t="s">
        <v>291</v>
      </c>
      <c r="B418" s="12" t="s">
        <v>321</v>
      </c>
      <c r="C418" s="12"/>
      <c r="D418" s="12"/>
      <c r="E418" s="12"/>
      <c r="F418" s="26">
        <f>F419+F421</f>
        <v>75.2</v>
      </c>
      <c r="G418" s="26">
        <f t="shared" ref="G418:H418" si="147">G419+G421</f>
        <v>92</v>
      </c>
      <c r="H418" s="26">
        <f t="shared" si="147"/>
        <v>92</v>
      </c>
    </row>
    <row r="419" spans="1:8" ht="110.25">
      <c r="A419" s="11" t="s">
        <v>292</v>
      </c>
      <c r="B419" s="12" t="s">
        <v>322</v>
      </c>
      <c r="C419" s="12"/>
      <c r="D419" s="12"/>
      <c r="E419" s="12"/>
      <c r="F419" s="26">
        <f>F420</f>
        <v>75.2</v>
      </c>
      <c r="G419" s="26">
        <f t="shared" ref="G419:H419" si="148">G420</f>
        <v>72</v>
      </c>
      <c r="H419" s="26">
        <f t="shared" si="148"/>
        <v>72</v>
      </c>
    </row>
    <row r="420" spans="1:8" ht="31.5">
      <c r="A420" s="11" t="s">
        <v>47</v>
      </c>
      <c r="B420" s="12" t="s">
        <v>322</v>
      </c>
      <c r="C420" s="12" t="s">
        <v>98</v>
      </c>
      <c r="D420" s="12" t="s">
        <v>99</v>
      </c>
      <c r="E420" s="12" t="s">
        <v>104</v>
      </c>
      <c r="F420" s="26">
        <f>72+3.2</f>
        <v>75.2</v>
      </c>
      <c r="G420" s="26">
        <v>72</v>
      </c>
      <c r="H420" s="26">
        <v>72</v>
      </c>
    </row>
    <row r="421" spans="1:8" ht="63">
      <c r="A421" s="11" t="s">
        <v>293</v>
      </c>
      <c r="B421" s="12" t="s">
        <v>323</v>
      </c>
      <c r="C421" s="12"/>
      <c r="D421" s="12"/>
      <c r="E421" s="12"/>
      <c r="F421" s="26">
        <f>F422</f>
        <v>0</v>
      </c>
      <c r="G421" s="26">
        <f t="shared" ref="G421:H421" si="149">G422</f>
        <v>20</v>
      </c>
      <c r="H421" s="26">
        <f t="shared" si="149"/>
        <v>20</v>
      </c>
    </row>
    <row r="422" spans="1:8">
      <c r="A422" s="11" t="s">
        <v>18</v>
      </c>
      <c r="B422" s="12" t="s">
        <v>323</v>
      </c>
      <c r="C422" s="12" t="s">
        <v>95</v>
      </c>
      <c r="D422" s="12" t="s">
        <v>99</v>
      </c>
      <c r="E422" s="12" t="s">
        <v>104</v>
      </c>
      <c r="F422" s="26">
        <f>20-20</f>
        <v>0</v>
      </c>
      <c r="G422" s="26">
        <v>20</v>
      </c>
      <c r="H422" s="26">
        <v>20</v>
      </c>
    </row>
    <row r="423" spans="1:8" ht="31.5">
      <c r="A423" s="9" t="s">
        <v>294</v>
      </c>
      <c r="B423" s="10" t="s">
        <v>324</v>
      </c>
      <c r="C423" s="10"/>
      <c r="D423" s="10"/>
      <c r="E423" s="10"/>
      <c r="F423" s="25">
        <f>F424</f>
        <v>14246.800000000001</v>
      </c>
      <c r="G423" s="25">
        <f t="shared" ref="G423:H425" si="150">G424</f>
        <v>3000</v>
      </c>
      <c r="H423" s="25">
        <f t="shared" si="150"/>
        <v>3000</v>
      </c>
    </row>
    <row r="424" spans="1:8" ht="48.75" customHeight="1">
      <c r="A424" s="11" t="s">
        <v>295</v>
      </c>
      <c r="B424" s="12" t="s">
        <v>325</v>
      </c>
      <c r="C424" s="12"/>
      <c r="D424" s="12"/>
      <c r="E424" s="12"/>
      <c r="F424" s="26">
        <f>F425</f>
        <v>14246.800000000001</v>
      </c>
      <c r="G424" s="26">
        <f t="shared" si="150"/>
        <v>3000</v>
      </c>
      <c r="H424" s="26">
        <f t="shared" si="150"/>
        <v>3000</v>
      </c>
    </row>
    <row r="425" spans="1:8" ht="31.5">
      <c r="A425" s="11" t="s">
        <v>296</v>
      </c>
      <c r="B425" s="12" t="s">
        <v>326</v>
      </c>
      <c r="C425" s="12"/>
      <c r="D425" s="12"/>
      <c r="E425" s="12"/>
      <c r="F425" s="26">
        <f>F426</f>
        <v>14246.800000000001</v>
      </c>
      <c r="G425" s="26">
        <f t="shared" si="150"/>
        <v>3000</v>
      </c>
      <c r="H425" s="26">
        <f t="shared" si="150"/>
        <v>3000</v>
      </c>
    </row>
    <row r="426" spans="1:8" ht="31.5">
      <c r="A426" s="11" t="s">
        <v>47</v>
      </c>
      <c r="B426" s="12" t="s">
        <v>326</v>
      </c>
      <c r="C426" s="12" t="s">
        <v>98</v>
      </c>
      <c r="D426" s="12" t="s">
        <v>106</v>
      </c>
      <c r="E426" s="12" t="s">
        <v>101</v>
      </c>
      <c r="F426" s="26">
        <f>13806.2+440.6</f>
        <v>14246.800000000001</v>
      </c>
      <c r="G426" s="26">
        <v>3000</v>
      </c>
      <c r="H426" s="26">
        <v>3000</v>
      </c>
    </row>
    <row r="427" spans="1:8" ht="78.75">
      <c r="A427" s="9" t="s">
        <v>297</v>
      </c>
      <c r="B427" s="10" t="s">
        <v>327</v>
      </c>
      <c r="C427" s="10"/>
      <c r="D427" s="10"/>
      <c r="E427" s="10"/>
      <c r="F427" s="25">
        <f>F428+F435+F438</f>
        <v>32348.632000000001</v>
      </c>
      <c r="G427" s="25">
        <f t="shared" ref="G427:H427" si="151">G428+G435+G438</f>
        <v>35287.4</v>
      </c>
      <c r="H427" s="25">
        <f t="shared" si="151"/>
        <v>32806.1</v>
      </c>
    </row>
    <row r="428" spans="1:8" ht="47.25">
      <c r="A428" s="11" t="s">
        <v>298</v>
      </c>
      <c r="B428" s="12" t="s">
        <v>328</v>
      </c>
      <c r="C428" s="12"/>
      <c r="D428" s="12"/>
      <c r="E428" s="12"/>
      <c r="F428" s="26">
        <f>F429+F431+F433</f>
        <v>1329.4079999999999</v>
      </c>
      <c r="G428" s="26">
        <f t="shared" ref="G428:H428" si="152">G429+G431+G433</f>
        <v>1888.3000000000002</v>
      </c>
      <c r="H428" s="26">
        <f t="shared" si="152"/>
        <v>1888.3000000000002</v>
      </c>
    </row>
    <row r="429" spans="1:8" ht="143.25" hidden="1" customHeight="1">
      <c r="A429" s="11" t="s">
        <v>299</v>
      </c>
      <c r="B429" s="12" t="s">
        <v>329</v>
      </c>
      <c r="C429" s="12"/>
      <c r="D429" s="12"/>
      <c r="E429" s="12"/>
      <c r="F429" s="26">
        <f>F430</f>
        <v>0</v>
      </c>
      <c r="G429" s="26">
        <f t="shared" ref="G429:H429" si="153">G430</f>
        <v>0</v>
      </c>
      <c r="H429" s="26">
        <f t="shared" si="153"/>
        <v>0</v>
      </c>
    </row>
    <row r="430" spans="1:8" ht="31.5" hidden="1">
      <c r="A430" s="11" t="s">
        <v>47</v>
      </c>
      <c r="B430" s="12" t="s">
        <v>329</v>
      </c>
      <c r="C430" s="12" t="s">
        <v>98</v>
      </c>
      <c r="D430" s="12" t="s">
        <v>106</v>
      </c>
      <c r="E430" s="12" t="s">
        <v>100</v>
      </c>
      <c r="F430" s="26">
        <f>1258.9+0.02-1258.92</f>
        <v>0</v>
      </c>
      <c r="G430" s="26">
        <v>0</v>
      </c>
      <c r="H430" s="26">
        <v>0</v>
      </c>
    </row>
    <row r="431" spans="1:8" ht="78.75">
      <c r="A431" s="11" t="s">
        <v>300</v>
      </c>
      <c r="B431" s="12" t="s">
        <v>330</v>
      </c>
      <c r="C431" s="12"/>
      <c r="D431" s="12"/>
      <c r="E431" s="12"/>
      <c r="F431" s="26">
        <f>F432</f>
        <v>664.70399999999995</v>
      </c>
      <c r="G431" s="26">
        <f t="shared" ref="G431:H431" si="154">G432</f>
        <v>629.4</v>
      </c>
      <c r="H431" s="26">
        <f t="shared" si="154"/>
        <v>629.4</v>
      </c>
    </row>
    <row r="432" spans="1:8" ht="31.5">
      <c r="A432" s="11" t="s">
        <v>47</v>
      </c>
      <c r="B432" s="12" t="s">
        <v>330</v>
      </c>
      <c r="C432" s="12" t="s">
        <v>98</v>
      </c>
      <c r="D432" s="12" t="s">
        <v>106</v>
      </c>
      <c r="E432" s="12" t="s">
        <v>100</v>
      </c>
      <c r="F432" s="26">
        <f>629.4+0.06+35.244</f>
        <v>664.70399999999995</v>
      </c>
      <c r="G432" s="26">
        <v>629.4</v>
      </c>
      <c r="H432" s="26">
        <v>629.4</v>
      </c>
    </row>
    <row r="433" spans="1:8" ht="94.5">
      <c r="A433" s="11" t="s">
        <v>301</v>
      </c>
      <c r="B433" s="12" t="s">
        <v>331</v>
      </c>
      <c r="C433" s="12"/>
      <c r="D433" s="12"/>
      <c r="E433" s="12"/>
      <c r="F433" s="26">
        <f>F434</f>
        <v>664.70400000000006</v>
      </c>
      <c r="G433" s="26">
        <f t="shared" ref="G433:H433" si="155">G434</f>
        <v>1258.9000000000001</v>
      </c>
      <c r="H433" s="26">
        <f t="shared" si="155"/>
        <v>1258.9000000000001</v>
      </c>
    </row>
    <row r="434" spans="1:8" ht="31.5">
      <c r="A434" s="11" t="s">
        <v>47</v>
      </c>
      <c r="B434" s="12" t="s">
        <v>331</v>
      </c>
      <c r="C434" s="12" t="s">
        <v>98</v>
      </c>
      <c r="D434" s="12" t="s">
        <v>106</v>
      </c>
      <c r="E434" s="12" t="s">
        <v>100</v>
      </c>
      <c r="F434" s="26">
        <f>629.5-0.04+35.244</f>
        <v>664.70400000000006</v>
      </c>
      <c r="G434" s="26">
        <v>1258.9000000000001</v>
      </c>
      <c r="H434" s="26">
        <v>1258.9000000000001</v>
      </c>
    </row>
    <row r="435" spans="1:8" ht="157.5">
      <c r="A435" s="11" t="s">
        <v>302</v>
      </c>
      <c r="B435" s="12" t="s">
        <v>332</v>
      </c>
      <c r="C435" s="12"/>
      <c r="D435" s="12"/>
      <c r="E435" s="12"/>
      <c r="F435" s="26">
        <f>F436</f>
        <v>755.4</v>
      </c>
      <c r="G435" s="26">
        <f t="shared" ref="G435:H435" si="156">G436</f>
        <v>1133.0999999999999</v>
      </c>
      <c r="H435" s="26">
        <f t="shared" si="156"/>
        <v>1133.9000000000001</v>
      </c>
    </row>
    <row r="436" spans="1:8" ht="126">
      <c r="A436" s="11" t="s">
        <v>303</v>
      </c>
      <c r="B436" s="12" t="s">
        <v>333</v>
      </c>
      <c r="C436" s="12"/>
      <c r="D436" s="12"/>
      <c r="E436" s="12"/>
      <c r="F436" s="26">
        <f>F437</f>
        <v>755.4</v>
      </c>
      <c r="G436" s="26">
        <f t="shared" ref="G436:H436" si="157">G437</f>
        <v>1133.0999999999999</v>
      </c>
      <c r="H436" s="26">
        <f t="shared" si="157"/>
        <v>1133.9000000000001</v>
      </c>
    </row>
    <row r="437" spans="1:8" ht="31.5">
      <c r="A437" s="11" t="s">
        <v>47</v>
      </c>
      <c r="B437" s="12" t="s">
        <v>333</v>
      </c>
      <c r="C437" s="12" t="s">
        <v>98</v>
      </c>
      <c r="D437" s="12" t="s">
        <v>106</v>
      </c>
      <c r="E437" s="12" t="s">
        <v>100</v>
      </c>
      <c r="F437" s="26">
        <v>755.4</v>
      </c>
      <c r="G437" s="26">
        <v>1133.0999999999999</v>
      </c>
      <c r="H437" s="26">
        <v>1133.9000000000001</v>
      </c>
    </row>
    <row r="438" spans="1:8" ht="78.75">
      <c r="A438" s="11" t="s">
        <v>304</v>
      </c>
      <c r="B438" s="12" t="s">
        <v>334</v>
      </c>
      <c r="C438" s="12"/>
      <c r="D438" s="12"/>
      <c r="E438" s="12"/>
      <c r="F438" s="26">
        <f>F439+F441</f>
        <v>30263.824000000001</v>
      </c>
      <c r="G438" s="26">
        <f t="shared" ref="G438:H438" si="158">G439+G441</f>
        <v>32266</v>
      </c>
      <c r="H438" s="26">
        <f t="shared" si="158"/>
        <v>29783.9</v>
      </c>
    </row>
    <row r="439" spans="1:8" ht="78.75">
      <c r="A439" s="11" t="s">
        <v>305</v>
      </c>
      <c r="B439" s="12" t="s">
        <v>335</v>
      </c>
      <c r="C439" s="12"/>
      <c r="D439" s="12"/>
      <c r="E439" s="12"/>
      <c r="F439" s="26">
        <f>F440</f>
        <v>25398.223999999998</v>
      </c>
      <c r="G439" s="26">
        <f t="shared" ref="G439:H439" si="159">G440</f>
        <v>25293.9</v>
      </c>
      <c r="H439" s="26">
        <f t="shared" si="159"/>
        <v>21999.4</v>
      </c>
    </row>
    <row r="440" spans="1:8" ht="47.25">
      <c r="A440" s="11" t="s">
        <v>33</v>
      </c>
      <c r="B440" s="12" t="s">
        <v>335</v>
      </c>
      <c r="C440" s="12" t="s">
        <v>97</v>
      </c>
      <c r="D440" s="12" t="s">
        <v>106</v>
      </c>
      <c r="E440" s="12" t="s">
        <v>101</v>
      </c>
      <c r="F440" s="26">
        <f>24918.3+479.924</f>
        <v>25398.223999999998</v>
      </c>
      <c r="G440" s="26">
        <v>25293.9</v>
      </c>
      <c r="H440" s="26">
        <v>21999.4</v>
      </c>
    </row>
    <row r="441" spans="1:8" ht="78.75">
      <c r="A441" s="11" t="s">
        <v>305</v>
      </c>
      <c r="B441" s="12" t="s">
        <v>336</v>
      </c>
      <c r="C441" s="12"/>
      <c r="D441" s="12"/>
      <c r="E441" s="12"/>
      <c r="F441" s="26">
        <f>F442</f>
        <v>4865.6000000000004</v>
      </c>
      <c r="G441" s="26">
        <f t="shared" ref="G441:H441" si="160">G442</f>
        <v>6972.1</v>
      </c>
      <c r="H441" s="26">
        <f t="shared" si="160"/>
        <v>7784.5</v>
      </c>
    </row>
    <row r="442" spans="1:8" ht="47.25">
      <c r="A442" s="11" t="s">
        <v>33</v>
      </c>
      <c r="B442" s="12" t="s">
        <v>336</v>
      </c>
      <c r="C442" s="12" t="s">
        <v>97</v>
      </c>
      <c r="D442" s="12" t="s">
        <v>106</v>
      </c>
      <c r="E442" s="12" t="s">
        <v>101</v>
      </c>
      <c r="F442" s="26">
        <v>4865.6000000000004</v>
      </c>
      <c r="G442" s="26">
        <v>6972.1</v>
      </c>
      <c r="H442" s="26">
        <v>7784.5</v>
      </c>
    </row>
    <row r="443" spans="1:8" ht="31.5">
      <c r="A443" s="9" t="s">
        <v>306</v>
      </c>
      <c r="B443" s="10" t="s">
        <v>337</v>
      </c>
      <c r="C443" s="10"/>
      <c r="D443" s="10"/>
      <c r="E443" s="10"/>
      <c r="F443" s="25">
        <f>F444</f>
        <v>20857</v>
      </c>
      <c r="G443" s="25">
        <f t="shared" ref="G443:H443" si="161">G444</f>
        <v>0</v>
      </c>
      <c r="H443" s="25">
        <f t="shared" si="161"/>
        <v>43590.8</v>
      </c>
    </row>
    <row r="444" spans="1:8" ht="78.75">
      <c r="A444" s="11" t="s">
        <v>307</v>
      </c>
      <c r="B444" s="12" t="s">
        <v>338</v>
      </c>
      <c r="C444" s="12"/>
      <c r="D444" s="12"/>
      <c r="E444" s="12"/>
      <c r="F444" s="26">
        <f>F445+F447</f>
        <v>20857</v>
      </c>
      <c r="G444" s="26">
        <f t="shared" ref="G444:H444" si="162">G445+G447</f>
        <v>0</v>
      </c>
      <c r="H444" s="26">
        <f t="shared" si="162"/>
        <v>43590.8</v>
      </c>
    </row>
    <row r="445" spans="1:8" ht="63">
      <c r="A445" s="11" t="s">
        <v>308</v>
      </c>
      <c r="B445" s="12" t="s">
        <v>339</v>
      </c>
      <c r="C445" s="12"/>
      <c r="D445" s="12"/>
      <c r="E445" s="12"/>
      <c r="F445" s="26">
        <f>F446</f>
        <v>17728.099999999999</v>
      </c>
      <c r="G445" s="26">
        <f t="shared" ref="G445:H445" si="163">G446</f>
        <v>0</v>
      </c>
      <c r="H445" s="26">
        <f t="shared" si="163"/>
        <v>43590.8</v>
      </c>
    </row>
    <row r="446" spans="1:8" ht="47.25">
      <c r="A446" s="11" t="s">
        <v>33</v>
      </c>
      <c r="B446" s="12" t="s">
        <v>339</v>
      </c>
      <c r="C446" s="12" t="s">
        <v>97</v>
      </c>
      <c r="D446" s="12" t="s">
        <v>99</v>
      </c>
      <c r="E446" s="12" t="s">
        <v>104</v>
      </c>
      <c r="F446" s="26">
        <v>17728.099999999999</v>
      </c>
      <c r="G446" s="26">
        <v>0</v>
      </c>
      <c r="H446" s="26">
        <v>43590.8</v>
      </c>
    </row>
    <row r="447" spans="1:8" ht="63">
      <c r="A447" s="11" t="s">
        <v>308</v>
      </c>
      <c r="B447" s="12" t="s">
        <v>340</v>
      </c>
      <c r="C447" s="12"/>
      <c r="D447" s="12"/>
      <c r="E447" s="12"/>
      <c r="F447" s="26">
        <f>F448</f>
        <v>3128.9</v>
      </c>
      <c r="G447" s="26">
        <f t="shared" ref="G447:H447" si="164">G448</f>
        <v>0</v>
      </c>
      <c r="H447" s="26">
        <f t="shared" si="164"/>
        <v>0</v>
      </c>
    </row>
    <row r="448" spans="1:8" ht="47.25">
      <c r="A448" s="11" t="s">
        <v>33</v>
      </c>
      <c r="B448" s="12" t="s">
        <v>340</v>
      </c>
      <c r="C448" s="12" t="s">
        <v>97</v>
      </c>
      <c r="D448" s="12" t="s">
        <v>99</v>
      </c>
      <c r="E448" s="12" t="s">
        <v>104</v>
      </c>
      <c r="F448" s="26">
        <v>3128.9</v>
      </c>
      <c r="G448" s="26">
        <v>0</v>
      </c>
      <c r="H448" s="26">
        <v>0</v>
      </c>
    </row>
    <row r="449" spans="1:8" ht="31.5">
      <c r="A449" s="9" t="s">
        <v>309</v>
      </c>
      <c r="B449" s="10" t="s">
        <v>341</v>
      </c>
      <c r="C449" s="10"/>
      <c r="D449" s="10"/>
      <c r="E449" s="10"/>
      <c r="F449" s="25">
        <f>F450</f>
        <v>3196.5</v>
      </c>
      <c r="G449" s="25">
        <f t="shared" ref="G449:H449" si="165">G450</f>
        <v>1720.9</v>
      </c>
      <c r="H449" s="25">
        <f t="shared" si="165"/>
        <v>1832.6</v>
      </c>
    </row>
    <row r="450" spans="1:8" ht="47.25">
      <c r="A450" s="11" t="s">
        <v>310</v>
      </c>
      <c r="B450" s="12" t="s">
        <v>342</v>
      </c>
      <c r="C450" s="12"/>
      <c r="D450" s="12"/>
      <c r="E450" s="12"/>
      <c r="F450" s="26">
        <f>F451+F453</f>
        <v>3196.5</v>
      </c>
      <c r="G450" s="26">
        <f t="shared" ref="G450:H450" si="166">G451+G453</f>
        <v>1720.9</v>
      </c>
      <c r="H450" s="26">
        <f t="shared" si="166"/>
        <v>1832.6</v>
      </c>
    </row>
    <row r="451" spans="1:8" ht="31.5">
      <c r="A451" s="11" t="s">
        <v>311</v>
      </c>
      <c r="B451" s="12" t="s">
        <v>343</v>
      </c>
      <c r="C451" s="12"/>
      <c r="D451" s="12"/>
      <c r="E451" s="12"/>
      <c r="F451" s="26">
        <f>F452</f>
        <v>2717</v>
      </c>
      <c r="G451" s="26">
        <f t="shared" ref="G451:H451" si="167">G452</f>
        <v>1420.9</v>
      </c>
      <c r="H451" s="26">
        <f t="shared" si="167"/>
        <v>1532.6</v>
      </c>
    </row>
    <row r="452" spans="1:8" ht="31.5">
      <c r="A452" s="11" t="s">
        <v>47</v>
      </c>
      <c r="B452" s="12" t="s">
        <v>343</v>
      </c>
      <c r="C452" s="12" t="s">
        <v>98</v>
      </c>
      <c r="D452" s="12" t="s">
        <v>106</v>
      </c>
      <c r="E452" s="12" t="s">
        <v>100</v>
      </c>
      <c r="F452" s="26">
        <f>2621.7+95.3</f>
        <v>2717</v>
      </c>
      <c r="G452" s="26">
        <v>1420.9</v>
      </c>
      <c r="H452" s="26">
        <v>1532.6</v>
      </c>
    </row>
    <row r="453" spans="1:8" ht="31.5">
      <c r="A453" s="11" t="s">
        <v>311</v>
      </c>
      <c r="B453" s="12" t="s">
        <v>344</v>
      </c>
      <c r="C453" s="12"/>
      <c r="D453" s="12"/>
      <c r="E453" s="12"/>
      <c r="F453" s="26">
        <f>F454</f>
        <v>479.5</v>
      </c>
      <c r="G453" s="26">
        <f t="shared" ref="G453:H453" si="168">G454</f>
        <v>300</v>
      </c>
      <c r="H453" s="26">
        <f t="shared" si="168"/>
        <v>300</v>
      </c>
    </row>
    <row r="454" spans="1:8" ht="31.5">
      <c r="A454" s="11" t="s">
        <v>47</v>
      </c>
      <c r="B454" s="12" t="s">
        <v>344</v>
      </c>
      <c r="C454" s="12" t="s">
        <v>98</v>
      </c>
      <c r="D454" s="12" t="s">
        <v>106</v>
      </c>
      <c r="E454" s="12" t="s">
        <v>100</v>
      </c>
      <c r="F454" s="26">
        <f>462.7+16.8</f>
        <v>479.5</v>
      </c>
      <c r="G454" s="26">
        <v>300</v>
      </c>
      <c r="H454" s="26">
        <v>300</v>
      </c>
    </row>
    <row r="455" spans="1:8" ht="47.25">
      <c r="A455" s="17" t="s">
        <v>623</v>
      </c>
      <c r="B455" s="18" t="s">
        <v>627</v>
      </c>
      <c r="C455" s="10"/>
      <c r="D455" s="10"/>
      <c r="E455" s="10"/>
      <c r="F455" s="25">
        <f>F456</f>
        <v>6377.4656000000004</v>
      </c>
      <c r="G455" s="25">
        <f t="shared" ref="G455:H455" si="169">G456</f>
        <v>0</v>
      </c>
      <c r="H455" s="25">
        <f t="shared" si="169"/>
        <v>0</v>
      </c>
    </row>
    <row r="456" spans="1:8" ht="94.5">
      <c r="A456" s="16" t="s">
        <v>635</v>
      </c>
      <c r="B456" s="19" t="s">
        <v>638</v>
      </c>
      <c r="C456" s="12"/>
      <c r="D456" s="12"/>
      <c r="E456" s="12"/>
      <c r="F456" s="26">
        <f>F457+F459</f>
        <v>6377.4656000000004</v>
      </c>
      <c r="G456" s="26">
        <f t="shared" ref="G456:H456" si="170">G457+G459</f>
        <v>0</v>
      </c>
      <c r="H456" s="26">
        <f t="shared" si="170"/>
        <v>0</v>
      </c>
    </row>
    <row r="457" spans="1:8" ht="78.75">
      <c r="A457" s="16" t="s">
        <v>636</v>
      </c>
      <c r="B457" s="19" t="s">
        <v>639</v>
      </c>
      <c r="C457" s="12"/>
      <c r="D457" s="12"/>
      <c r="E457" s="12"/>
      <c r="F457" s="26">
        <f>F458</f>
        <v>6249.9162900000001</v>
      </c>
      <c r="G457" s="26">
        <f t="shared" ref="G457:H457" si="171">G458</f>
        <v>0</v>
      </c>
      <c r="H457" s="26">
        <f t="shared" si="171"/>
        <v>0</v>
      </c>
    </row>
    <row r="458" spans="1:8" ht="47.25">
      <c r="A458" s="16" t="s">
        <v>626</v>
      </c>
      <c r="B458" s="19" t="s">
        <v>639</v>
      </c>
      <c r="C458" s="12" t="s">
        <v>97</v>
      </c>
      <c r="D458" s="12" t="s">
        <v>99</v>
      </c>
      <c r="E458" s="12" t="s">
        <v>104</v>
      </c>
      <c r="F458" s="26">
        <v>6249.9162900000001</v>
      </c>
      <c r="G458" s="26">
        <v>0</v>
      </c>
      <c r="H458" s="26">
        <v>0</v>
      </c>
    </row>
    <row r="459" spans="1:8" ht="47.25">
      <c r="A459" s="16" t="s">
        <v>625</v>
      </c>
      <c r="B459" s="19" t="s">
        <v>640</v>
      </c>
      <c r="C459" s="12"/>
      <c r="D459" s="12"/>
      <c r="E459" s="12"/>
      <c r="F459" s="26">
        <f>F460</f>
        <v>127.54930999999999</v>
      </c>
      <c r="G459" s="26">
        <f t="shared" ref="G459:H459" si="172">G460</f>
        <v>0</v>
      </c>
      <c r="H459" s="26">
        <f t="shared" si="172"/>
        <v>0</v>
      </c>
    </row>
    <row r="460" spans="1:8" ht="47.25">
      <c r="A460" s="16" t="s">
        <v>626</v>
      </c>
      <c r="B460" s="19" t="s">
        <v>640</v>
      </c>
      <c r="C460" s="12" t="s">
        <v>97</v>
      </c>
      <c r="D460" s="12" t="s">
        <v>99</v>
      </c>
      <c r="E460" s="12" t="s">
        <v>104</v>
      </c>
      <c r="F460" s="26">
        <f>95.66198+31.88733</f>
        <v>127.54930999999999</v>
      </c>
      <c r="G460" s="26">
        <v>0</v>
      </c>
      <c r="H460" s="26">
        <v>0</v>
      </c>
    </row>
    <row r="461" spans="1:8" ht="47.25">
      <c r="A461" s="17" t="s">
        <v>628</v>
      </c>
      <c r="B461" s="18" t="s">
        <v>629</v>
      </c>
      <c r="C461" s="10"/>
      <c r="D461" s="10"/>
      <c r="E461" s="10"/>
      <c r="F461" s="25">
        <f>F462+F467</f>
        <v>9050.716989999999</v>
      </c>
      <c r="G461" s="25">
        <f t="shared" ref="G461:H461" si="173">G462+G467</f>
        <v>0</v>
      </c>
      <c r="H461" s="25">
        <f t="shared" si="173"/>
        <v>0</v>
      </c>
    </row>
    <row r="462" spans="1:8" ht="110.25" hidden="1">
      <c r="A462" s="16" t="s">
        <v>624</v>
      </c>
      <c r="B462" s="19" t="s">
        <v>630</v>
      </c>
      <c r="C462" s="12"/>
      <c r="D462" s="12"/>
      <c r="E462" s="12"/>
      <c r="F462" s="26">
        <f>F463+F465</f>
        <v>0</v>
      </c>
      <c r="G462" s="26">
        <f t="shared" ref="G462:H463" si="174">G463</f>
        <v>0</v>
      </c>
      <c r="H462" s="26">
        <f t="shared" si="174"/>
        <v>0</v>
      </c>
    </row>
    <row r="463" spans="1:8" ht="47.25" hidden="1">
      <c r="A463" s="16" t="s">
        <v>637</v>
      </c>
      <c r="B463" s="19" t="s">
        <v>631</v>
      </c>
      <c r="C463" s="12"/>
      <c r="D463" s="12"/>
      <c r="E463" s="12"/>
      <c r="F463" s="26">
        <f>F464</f>
        <v>0</v>
      </c>
      <c r="G463" s="26">
        <f t="shared" si="174"/>
        <v>0</v>
      </c>
      <c r="H463" s="26">
        <f t="shared" si="174"/>
        <v>0</v>
      </c>
    </row>
    <row r="464" spans="1:8" ht="47.25" hidden="1">
      <c r="A464" s="16" t="s">
        <v>626</v>
      </c>
      <c r="B464" s="19" t="s">
        <v>631</v>
      </c>
      <c r="C464" s="12" t="s">
        <v>97</v>
      </c>
      <c r="D464" s="12" t="s">
        <v>99</v>
      </c>
      <c r="E464" s="12" t="s">
        <v>104</v>
      </c>
      <c r="F464" s="26">
        <f>4378.87541-4378.87541</f>
        <v>0</v>
      </c>
      <c r="G464" s="26">
        <v>0</v>
      </c>
      <c r="H464" s="26">
        <v>0</v>
      </c>
    </row>
    <row r="465" spans="1:8" ht="47.25" hidden="1">
      <c r="A465" s="16" t="s">
        <v>637</v>
      </c>
      <c r="B465" s="19" t="s">
        <v>641</v>
      </c>
      <c r="C465" s="12"/>
      <c r="D465" s="12"/>
      <c r="E465" s="12"/>
      <c r="F465" s="26">
        <f>F466</f>
        <v>0</v>
      </c>
      <c r="G465" s="26">
        <f t="shared" ref="G465:H465" si="175">G466</f>
        <v>0</v>
      </c>
      <c r="H465" s="26">
        <f t="shared" si="175"/>
        <v>0</v>
      </c>
    </row>
    <row r="466" spans="1:8" ht="47.25" hidden="1">
      <c r="A466" s="16" t="s">
        <v>626</v>
      </c>
      <c r="B466" s="19" t="s">
        <v>641</v>
      </c>
      <c r="C466" s="12" t="s">
        <v>97</v>
      </c>
      <c r="D466" s="12" t="s">
        <v>99</v>
      </c>
      <c r="E466" s="12" t="s">
        <v>104</v>
      </c>
      <c r="F466" s="26">
        <f>230.50756-230.50756</f>
        <v>0</v>
      </c>
      <c r="G466" s="26">
        <v>0</v>
      </c>
      <c r="H466" s="26">
        <v>0</v>
      </c>
    </row>
    <row r="467" spans="1:8" ht="94.5">
      <c r="A467" s="16" t="s">
        <v>632</v>
      </c>
      <c r="B467" s="19" t="s">
        <v>633</v>
      </c>
      <c r="C467" s="12"/>
      <c r="D467" s="12"/>
      <c r="E467" s="12"/>
      <c r="F467" s="26">
        <f>F468+F470</f>
        <v>9050.716989999999</v>
      </c>
      <c r="G467" s="26">
        <f t="shared" ref="G467:H468" si="176">G468</f>
        <v>0</v>
      </c>
      <c r="H467" s="26">
        <f t="shared" si="176"/>
        <v>0</v>
      </c>
    </row>
    <row r="468" spans="1:8" ht="47.25">
      <c r="A468" s="16" t="s">
        <v>637</v>
      </c>
      <c r="B468" s="19" t="s">
        <v>634</v>
      </c>
      <c r="C468" s="10"/>
      <c r="D468" s="10"/>
      <c r="E468" s="10"/>
      <c r="F468" s="26">
        <f>F469</f>
        <v>8598.1043199999986</v>
      </c>
      <c r="G468" s="26">
        <f t="shared" si="176"/>
        <v>0</v>
      </c>
      <c r="H468" s="26">
        <f t="shared" si="176"/>
        <v>0</v>
      </c>
    </row>
    <row r="469" spans="1:8" ht="47.25">
      <c r="A469" s="16" t="s">
        <v>626</v>
      </c>
      <c r="B469" s="19" t="s">
        <v>634</v>
      </c>
      <c r="C469" s="12" t="s">
        <v>97</v>
      </c>
      <c r="D469" s="12" t="s">
        <v>99</v>
      </c>
      <c r="E469" s="12" t="s">
        <v>104</v>
      </c>
      <c r="F469" s="26">
        <f>4219.22891+4378.87541</f>
        <v>8598.1043199999986</v>
      </c>
      <c r="G469" s="26">
        <v>0</v>
      </c>
      <c r="H469" s="26">
        <v>0</v>
      </c>
    </row>
    <row r="470" spans="1:8" ht="47.25">
      <c r="A470" s="16" t="s">
        <v>637</v>
      </c>
      <c r="B470" s="19" t="s">
        <v>642</v>
      </c>
      <c r="C470" s="10"/>
      <c r="D470" s="10"/>
      <c r="E470" s="10"/>
      <c r="F470" s="26">
        <f>F471</f>
        <v>452.61266999999998</v>
      </c>
      <c r="G470" s="26">
        <f t="shared" ref="G470:H470" si="177">G471</f>
        <v>0</v>
      </c>
      <c r="H470" s="26">
        <f t="shared" si="177"/>
        <v>0</v>
      </c>
    </row>
    <row r="471" spans="1:8" ht="47.25">
      <c r="A471" s="16" t="s">
        <v>626</v>
      </c>
      <c r="B471" s="19" t="s">
        <v>642</v>
      </c>
      <c r="C471" s="12" t="s">
        <v>97</v>
      </c>
      <c r="D471" s="12" t="s">
        <v>99</v>
      </c>
      <c r="E471" s="12" t="s">
        <v>104</v>
      </c>
      <c r="F471" s="26">
        <f>222.10511+230.50756</f>
        <v>452.61266999999998</v>
      </c>
      <c r="G471" s="26">
        <v>0</v>
      </c>
      <c r="H471" s="26">
        <v>0</v>
      </c>
    </row>
    <row r="472" spans="1:8" ht="78.75">
      <c r="A472" s="7" t="s">
        <v>345</v>
      </c>
      <c r="B472" s="8" t="s">
        <v>365</v>
      </c>
      <c r="C472" s="8"/>
      <c r="D472" s="8"/>
      <c r="E472" s="8"/>
      <c r="F472" s="24">
        <f>F473+F480+F485</f>
        <v>15953.699999999999</v>
      </c>
      <c r="G472" s="24">
        <f t="shared" ref="G472:H472" si="178">G473+G480+G485</f>
        <v>15959.699999999999</v>
      </c>
      <c r="H472" s="24">
        <f t="shared" si="178"/>
        <v>15965.699999999999</v>
      </c>
    </row>
    <row r="473" spans="1:8" ht="78.75">
      <c r="A473" s="11" t="s">
        <v>346</v>
      </c>
      <c r="B473" s="12" t="s">
        <v>366</v>
      </c>
      <c r="C473" s="12"/>
      <c r="D473" s="12"/>
      <c r="E473" s="12"/>
      <c r="F473" s="26">
        <f>F474+F476+F478</f>
        <v>652</v>
      </c>
      <c r="G473" s="26">
        <f t="shared" ref="G473:H473" si="179">G474+G476+G478</f>
        <v>652</v>
      </c>
      <c r="H473" s="26">
        <f t="shared" si="179"/>
        <v>652</v>
      </c>
    </row>
    <row r="474" spans="1:8" ht="47.25">
      <c r="A474" s="11" t="s">
        <v>347</v>
      </c>
      <c r="B474" s="12" t="s">
        <v>367</v>
      </c>
      <c r="C474" s="12"/>
      <c r="D474" s="12"/>
      <c r="E474" s="12"/>
      <c r="F474" s="26">
        <f>F475</f>
        <v>200</v>
      </c>
      <c r="G474" s="26">
        <f t="shared" ref="G474:H474" si="180">G475</f>
        <v>200</v>
      </c>
      <c r="H474" s="26">
        <f t="shared" si="180"/>
        <v>200</v>
      </c>
    </row>
    <row r="475" spans="1:8" ht="47.25">
      <c r="A475" s="11" t="s">
        <v>16</v>
      </c>
      <c r="B475" s="12" t="s">
        <v>367</v>
      </c>
      <c r="C475" s="12" t="s">
        <v>94</v>
      </c>
      <c r="D475" s="12" t="s">
        <v>104</v>
      </c>
      <c r="E475" s="12" t="s">
        <v>186</v>
      </c>
      <c r="F475" s="26">
        <v>200</v>
      </c>
      <c r="G475" s="26">
        <v>200</v>
      </c>
      <c r="H475" s="26">
        <v>200</v>
      </c>
    </row>
    <row r="476" spans="1:8">
      <c r="A476" s="11" t="s">
        <v>348</v>
      </c>
      <c r="B476" s="12" t="s">
        <v>368</v>
      </c>
      <c r="C476" s="12"/>
      <c r="D476" s="12"/>
      <c r="E476" s="12"/>
      <c r="F476" s="26">
        <f>F477</f>
        <v>170</v>
      </c>
      <c r="G476" s="26">
        <f t="shared" ref="G476:H476" si="181">G477</f>
        <v>170</v>
      </c>
      <c r="H476" s="26">
        <f t="shared" si="181"/>
        <v>170</v>
      </c>
    </row>
    <row r="477" spans="1:8" ht="47.25">
      <c r="A477" s="11" t="s">
        <v>16</v>
      </c>
      <c r="B477" s="12" t="s">
        <v>368</v>
      </c>
      <c r="C477" s="12" t="s">
        <v>94</v>
      </c>
      <c r="D477" s="12" t="s">
        <v>104</v>
      </c>
      <c r="E477" s="12" t="s">
        <v>186</v>
      </c>
      <c r="F477" s="26">
        <v>170</v>
      </c>
      <c r="G477" s="26">
        <v>170</v>
      </c>
      <c r="H477" s="26">
        <v>170</v>
      </c>
    </row>
    <row r="478" spans="1:8" ht="47.25">
      <c r="A478" s="11" t="s">
        <v>349</v>
      </c>
      <c r="B478" s="12" t="s">
        <v>369</v>
      </c>
      <c r="C478" s="12"/>
      <c r="D478" s="12"/>
      <c r="E478" s="12"/>
      <c r="F478" s="26">
        <f>F479</f>
        <v>282</v>
      </c>
      <c r="G478" s="26">
        <f t="shared" ref="G478:H478" si="182">G479</f>
        <v>282</v>
      </c>
      <c r="H478" s="26">
        <f t="shared" si="182"/>
        <v>282</v>
      </c>
    </row>
    <row r="479" spans="1:8" ht="47.25">
      <c r="A479" s="11" t="s">
        <v>16</v>
      </c>
      <c r="B479" s="12" t="s">
        <v>369</v>
      </c>
      <c r="C479" s="12" t="s">
        <v>94</v>
      </c>
      <c r="D479" s="12" t="s">
        <v>104</v>
      </c>
      <c r="E479" s="12" t="s">
        <v>186</v>
      </c>
      <c r="F479" s="26">
        <v>282</v>
      </c>
      <c r="G479" s="26">
        <v>282</v>
      </c>
      <c r="H479" s="26">
        <v>282</v>
      </c>
    </row>
    <row r="480" spans="1:8" ht="31.5">
      <c r="A480" s="11" t="s">
        <v>350</v>
      </c>
      <c r="B480" s="12" t="s">
        <v>370</v>
      </c>
      <c r="C480" s="12"/>
      <c r="D480" s="12"/>
      <c r="E480" s="12"/>
      <c r="F480" s="26">
        <f>F481+F483</f>
        <v>1971.32014</v>
      </c>
      <c r="G480" s="26">
        <f t="shared" ref="G480:H480" si="183">G481+G483</f>
        <v>266.7</v>
      </c>
      <c r="H480" s="26">
        <f t="shared" si="183"/>
        <v>266.2</v>
      </c>
    </row>
    <row r="481" spans="1:8" ht="31.5">
      <c r="A481" s="11" t="s">
        <v>351</v>
      </c>
      <c r="B481" s="12" t="s">
        <v>371</v>
      </c>
      <c r="C481" s="12"/>
      <c r="D481" s="12"/>
      <c r="E481" s="12"/>
      <c r="F481" s="26">
        <f>F482</f>
        <v>30</v>
      </c>
      <c r="G481" s="26">
        <f t="shared" ref="G481:H481" si="184">G482</f>
        <v>20</v>
      </c>
      <c r="H481" s="26">
        <f t="shared" si="184"/>
        <v>20</v>
      </c>
    </row>
    <row r="482" spans="1:8">
      <c r="A482" s="11" t="s">
        <v>18</v>
      </c>
      <c r="B482" s="12" t="s">
        <v>371</v>
      </c>
      <c r="C482" s="12" t="s">
        <v>95</v>
      </c>
      <c r="D482" s="12" t="s">
        <v>104</v>
      </c>
      <c r="E482" s="12" t="s">
        <v>186</v>
      </c>
      <c r="F482" s="26">
        <v>30</v>
      </c>
      <c r="G482" s="26">
        <v>20</v>
      </c>
      <c r="H482" s="26">
        <v>20</v>
      </c>
    </row>
    <row r="483" spans="1:8" ht="110.25" customHeight="1">
      <c r="A483" s="11" t="s">
        <v>352</v>
      </c>
      <c r="B483" s="12" t="s">
        <v>372</v>
      </c>
      <c r="C483" s="12"/>
      <c r="D483" s="12"/>
      <c r="E483" s="12"/>
      <c r="F483" s="26">
        <f>F484</f>
        <v>1941.32014</v>
      </c>
      <c r="G483" s="26">
        <f t="shared" ref="G483:H483" si="185">G484</f>
        <v>246.7</v>
      </c>
      <c r="H483" s="26">
        <f t="shared" si="185"/>
        <v>246.2</v>
      </c>
    </row>
    <row r="484" spans="1:8" ht="47.25">
      <c r="A484" s="11" t="s">
        <v>16</v>
      </c>
      <c r="B484" s="12" t="s">
        <v>372</v>
      </c>
      <c r="C484" s="12" t="s">
        <v>94</v>
      </c>
      <c r="D484" s="12" t="s">
        <v>104</v>
      </c>
      <c r="E484" s="12" t="s">
        <v>186</v>
      </c>
      <c r="F484" s="26">
        <f>237.2+1704.12014</f>
        <v>1941.32014</v>
      </c>
      <c r="G484" s="26">
        <v>246.7</v>
      </c>
      <c r="H484" s="26">
        <v>246.2</v>
      </c>
    </row>
    <row r="485" spans="1:8" ht="47.25">
      <c r="A485" s="11" t="s">
        <v>13</v>
      </c>
      <c r="B485" s="12" t="s">
        <v>373</v>
      </c>
      <c r="C485" s="12"/>
      <c r="D485" s="12"/>
      <c r="E485" s="12"/>
      <c r="F485" s="26">
        <f>F486+F490</f>
        <v>13330.379859999999</v>
      </c>
      <c r="G485" s="26">
        <f>G486+G490</f>
        <v>15040.999999999998</v>
      </c>
      <c r="H485" s="26">
        <f>H486+H490</f>
        <v>15047.499999999998</v>
      </c>
    </row>
    <row r="486" spans="1:8" ht="33.75" customHeight="1">
      <c r="A486" s="11" t="s">
        <v>14</v>
      </c>
      <c r="B486" s="12" t="s">
        <v>374</v>
      </c>
      <c r="C486" s="12"/>
      <c r="D486" s="12"/>
      <c r="E486" s="12"/>
      <c r="F486" s="26">
        <f>F487+F488+F489</f>
        <v>13065.074629999999</v>
      </c>
      <c r="G486" s="26">
        <f t="shared" ref="G486:H486" si="186">G487+G488+G489</f>
        <v>15040.999999999998</v>
      </c>
      <c r="H486" s="26">
        <f t="shared" si="186"/>
        <v>15047.499999999998</v>
      </c>
    </row>
    <row r="487" spans="1:8" ht="93.75" customHeight="1">
      <c r="A487" s="11" t="s">
        <v>15</v>
      </c>
      <c r="B487" s="12" t="s">
        <v>374</v>
      </c>
      <c r="C487" s="12" t="s">
        <v>93</v>
      </c>
      <c r="D487" s="12" t="s">
        <v>104</v>
      </c>
      <c r="E487" s="12" t="s">
        <v>186</v>
      </c>
      <c r="F487" s="26">
        <f>11854+1888.8-1704.12014</f>
        <v>12038.67986</v>
      </c>
      <c r="G487" s="26">
        <f>11860.5+1888.8</f>
        <v>13749.3</v>
      </c>
      <c r="H487" s="26">
        <f>11867+1888.8</f>
        <v>13755.8</v>
      </c>
    </row>
    <row r="488" spans="1:8" ht="47.25">
      <c r="A488" s="11" t="s">
        <v>16</v>
      </c>
      <c r="B488" s="12" t="s">
        <v>374</v>
      </c>
      <c r="C488" s="12" t="s">
        <v>94</v>
      </c>
      <c r="D488" s="12" t="s">
        <v>104</v>
      </c>
      <c r="E488" s="12" t="s">
        <v>186</v>
      </c>
      <c r="F488" s="26">
        <f>1291.3-261.30523-4</f>
        <v>1025.99477</v>
      </c>
      <c r="G488" s="26">
        <v>1291.3</v>
      </c>
      <c r="H488" s="26">
        <v>1291.3</v>
      </c>
    </row>
    <row r="489" spans="1:8">
      <c r="A489" s="11" t="s">
        <v>18</v>
      </c>
      <c r="B489" s="12" t="s">
        <v>374</v>
      </c>
      <c r="C489" s="12" t="s">
        <v>95</v>
      </c>
      <c r="D489" s="12" t="s">
        <v>104</v>
      </c>
      <c r="E489" s="12" t="s">
        <v>186</v>
      </c>
      <c r="F489" s="26">
        <v>0.4</v>
      </c>
      <c r="G489" s="26">
        <v>0.4</v>
      </c>
      <c r="H489" s="26">
        <v>0.4</v>
      </c>
    </row>
    <row r="490" spans="1:8">
      <c r="A490" s="11" t="s">
        <v>604</v>
      </c>
      <c r="B490" s="12" t="s">
        <v>603</v>
      </c>
      <c r="C490" s="12"/>
      <c r="D490" s="12"/>
      <c r="E490" s="12"/>
      <c r="F490" s="26">
        <f>F491+F492</f>
        <v>265.30522999999999</v>
      </c>
      <c r="G490" s="26">
        <f t="shared" ref="G490:H490" si="187">G491+G492</f>
        <v>0</v>
      </c>
      <c r="H490" s="26">
        <f t="shared" si="187"/>
        <v>0</v>
      </c>
    </row>
    <row r="491" spans="1:8" ht="47.25">
      <c r="A491" s="11" t="s">
        <v>16</v>
      </c>
      <c r="B491" s="12" t="s">
        <v>603</v>
      </c>
      <c r="C491" s="12" t="s">
        <v>94</v>
      </c>
      <c r="D491" s="12" t="s">
        <v>104</v>
      </c>
      <c r="E491" s="12" t="s">
        <v>186</v>
      </c>
      <c r="F491" s="26">
        <v>245.77949000000001</v>
      </c>
      <c r="G491" s="26">
        <v>0</v>
      </c>
      <c r="H491" s="26">
        <v>0</v>
      </c>
    </row>
    <row r="492" spans="1:8">
      <c r="A492" s="11" t="s">
        <v>18</v>
      </c>
      <c r="B492" s="12" t="s">
        <v>603</v>
      </c>
      <c r="C492" s="12" t="s">
        <v>95</v>
      </c>
      <c r="D492" s="12" t="s">
        <v>104</v>
      </c>
      <c r="E492" s="12" t="s">
        <v>186</v>
      </c>
      <c r="F492" s="26">
        <f>15.52574+4</f>
        <v>19.525739999999999</v>
      </c>
      <c r="G492" s="26">
        <v>0</v>
      </c>
      <c r="H492" s="26">
        <v>0</v>
      </c>
    </row>
    <row r="493" spans="1:8" ht="47.25">
      <c r="A493" s="7" t="s">
        <v>353</v>
      </c>
      <c r="B493" s="8" t="s">
        <v>375</v>
      </c>
      <c r="C493" s="8"/>
      <c r="D493" s="8"/>
      <c r="E493" s="8"/>
      <c r="F493" s="24">
        <f>F494+F499+F508+F523+F534</f>
        <v>174076.9</v>
      </c>
      <c r="G493" s="24">
        <f t="shared" ref="G493:H493" si="188">G494+G499+G508+G523</f>
        <v>167347.1</v>
      </c>
      <c r="H493" s="24">
        <f t="shared" si="188"/>
        <v>168539.6</v>
      </c>
    </row>
    <row r="494" spans="1:8" ht="78.75" customHeight="1">
      <c r="A494" s="11" t="s">
        <v>354</v>
      </c>
      <c r="B494" s="12" t="s">
        <v>376</v>
      </c>
      <c r="C494" s="12"/>
      <c r="D494" s="12"/>
      <c r="E494" s="12"/>
      <c r="F494" s="26">
        <f>F495+F497</f>
        <v>44592.9</v>
      </c>
      <c r="G494" s="26">
        <f t="shared" ref="G494:H494" si="189">G495+G497</f>
        <v>43680.1</v>
      </c>
      <c r="H494" s="26">
        <f t="shared" si="189"/>
        <v>43929.7</v>
      </c>
    </row>
    <row r="495" spans="1:8" ht="110.25">
      <c r="A495" s="11" t="s">
        <v>355</v>
      </c>
      <c r="B495" s="12" t="s">
        <v>377</v>
      </c>
      <c r="C495" s="12"/>
      <c r="D495" s="12"/>
      <c r="E495" s="12"/>
      <c r="F495" s="26">
        <f>F496</f>
        <v>8500</v>
      </c>
      <c r="G495" s="26">
        <f t="shared" ref="G495:H495" si="190">G496</f>
        <v>8500</v>
      </c>
      <c r="H495" s="26">
        <f t="shared" si="190"/>
        <v>8500</v>
      </c>
    </row>
    <row r="496" spans="1:8" ht="47.25" customHeight="1">
      <c r="A496" s="11" t="s">
        <v>22</v>
      </c>
      <c r="B496" s="12" t="s">
        <v>377</v>
      </c>
      <c r="C496" s="12" t="s">
        <v>96</v>
      </c>
      <c r="D496" s="12" t="s">
        <v>152</v>
      </c>
      <c r="E496" s="12" t="s">
        <v>100</v>
      </c>
      <c r="F496" s="26">
        <v>8500</v>
      </c>
      <c r="G496" s="26">
        <v>8500</v>
      </c>
      <c r="H496" s="26">
        <v>8500</v>
      </c>
    </row>
    <row r="497" spans="1:8" ht="47.25">
      <c r="A497" s="11" t="s">
        <v>156</v>
      </c>
      <c r="B497" s="12" t="s">
        <v>378</v>
      </c>
      <c r="C497" s="12"/>
      <c r="D497" s="12"/>
      <c r="E497" s="12"/>
      <c r="F497" s="26">
        <f>F498</f>
        <v>36092.9</v>
      </c>
      <c r="G497" s="26">
        <f t="shared" ref="G497:H497" si="191">G498</f>
        <v>35180.1</v>
      </c>
      <c r="H497" s="26">
        <f t="shared" si="191"/>
        <v>35429.699999999997</v>
      </c>
    </row>
    <row r="498" spans="1:8" ht="47.25" customHeight="1">
      <c r="A498" s="11" t="s">
        <v>22</v>
      </c>
      <c r="B498" s="12" t="s">
        <v>378</v>
      </c>
      <c r="C498" s="12" t="s">
        <v>96</v>
      </c>
      <c r="D498" s="12" t="s">
        <v>152</v>
      </c>
      <c r="E498" s="12" t="s">
        <v>100</v>
      </c>
      <c r="F498" s="26">
        <f>34942.9+1150</f>
        <v>36092.9</v>
      </c>
      <c r="G498" s="26">
        <v>35180.1</v>
      </c>
      <c r="H498" s="26">
        <v>35429.699999999997</v>
      </c>
    </row>
    <row r="499" spans="1:8" ht="63">
      <c r="A499" s="11" t="s">
        <v>356</v>
      </c>
      <c r="B499" s="12" t="s">
        <v>379</v>
      </c>
      <c r="C499" s="12"/>
      <c r="D499" s="12"/>
      <c r="E499" s="12"/>
      <c r="F499" s="26">
        <f>F500+F502+F504+F506</f>
        <v>32909.699999999997</v>
      </c>
      <c r="G499" s="26">
        <f t="shared" ref="G499:H499" si="192">G500+G502+G504+G506</f>
        <v>33222</v>
      </c>
      <c r="H499" s="26">
        <f t="shared" si="192"/>
        <v>33533.300000000003</v>
      </c>
    </row>
    <row r="500" spans="1:8" ht="126">
      <c r="A500" s="11" t="s">
        <v>357</v>
      </c>
      <c r="B500" s="12" t="s">
        <v>380</v>
      </c>
      <c r="C500" s="12"/>
      <c r="D500" s="12"/>
      <c r="E500" s="12"/>
      <c r="F500" s="26">
        <f>F501</f>
        <v>40.6</v>
      </c>
      <c r="G500" s="26">
        <f t="shared" ref="G500:H500" si="193">G501</f>
        <v>40.6</v>
      </c>
      <c r="H500" s="26">
        <f t="shared" si="193"/>
        <v>40.6</v>
      </c>
    </row>
    <row r="501" spans="1:8" ht="49.5" customHeight="1">
      <c r="A501" s="11" t="s">
        <v>22</v>
      </c>
      <c r="B501" s="12" t="s">
        <v>380</v>
      </c>
      <c r="C501" s="12" t="s">
        <v>96</v>
      </c>
      <c r="D501" s="12" t="s">
        <v>107</v>
      </c>
      <c r="E501" s="12" t="s">
        <v>104</v>
      </c>
      <c r="F501" s="26">
        <v>40.6</v>
      </c>
      <c r="G501" s="26">
        <v>40.6</v>
      </c>
      <c r="H501" s="26">
        <v>40.6</v>
      </c>
    </row>
    <row r="502" spans="1:8" ht="110.25">
      <c r="A502" s="11" t="s">
        <v>355</v>
      </c>
      <c r="B502" s="12" t="s">
        <v>381</v>
      </c>
      <c r="C502" s="12"/>
      <c r="D502" s="12"/>
      <c r="E502" s="12"/>
      <c r="F502" s="26">
        <f>F503</f>
        <v>9950</v>
      </c>
      <c r="G502" s="26">
        <f t="shared" ref="G502:H502" si="194">G503</f>
        <v>9950</v>
      </c>
      <c r="H502" s="26">
        <f t="shared" si="194"/>
        <v>9950</v>
      </c>
    </row>
    <row r="503" spans="1:8" ht="47.25" customHeight="1">
      <c r="A503" s="11" t="s">
        <v>22</v>
      </c>
      <c r="B503" s="12" t="s">
        <v>381</v>
      </c>
      <c r="C503" s="12" t="s">
        <v>96</v>
      </c>
      <c r="D503" s="12" t="s">
        <v>107</v>
      </c>
      <c r="E503" s="12" t="s">
        <v>104</v>
      </c>
      <c r="F503" s="26">
        <v>9950</v>
      </c>
      <c r="G503" s="26">
        <v>9950</v>
      </c>
      <c r="H503" s="26">
        <v>9950</v>
      </c>
    </row>
    <row r="504" spans="1:8" ht="78.75">
      <c r="A504" s="11" t="s">
        <v>358</v>
      </c>
      <c r="B504" s="12" t="s">
        <v>382</v>
      </c>
      <c r="C504" s="12"/>
      <c r="D504" s="12"/>
      <c r="E504" s="12"/>
      <c r="F504" s="26">
        <f>F505</f>
        <v>24.6</v>
      </c>
      <c r="G504" s="26">
        <f t="shared" ref="G504:H504" si="195">G505</f>
        <v>0</v>
      </c>
      <c r="H504" s="26">
        <f t="shared" si="195"/>
        <v>0</v>
      </c>
    </row>
    <row r="505" spans="1:8" ht="45.75" customHeight="1">
      <c r="A505" s="11" t="s">
        <v>22</v>
      </c>
      <c r="B505" s="12" t="s">
        <v>382</v>
      </c>
      <c r="C505" s="12" t="s">
        <v>96</v>
      </c>
      <c r="D505" s="12" t="s">
        <v>107</v>
      </c>
      <c r="E505" s="12" t="s">
        <v>104</v>
      </c>
      <c r="F505" s="26">
        <v>24.6</v>
      </c>
      <c r="G505" s="26">
        <v>0</v>
      </c>
      <c r="H505" s="26">
        <v>0</v>
      </c>
    </row>
    <row r="506" spans="1:8" ht="31.5">
      <c r="A506" s="11" t="s">
        <v>359</v>
      </c>
      <c r="B506" s="12" t="s">
        <v>383</v>
      </c>
      <c r="C506" s="12"/>
      <c r="D506" s="12"/>
      <c r="E506" s="12"/>
      <c r="F506" s="26">
        <f>F507</f>
        <v>22894.5</v>
      </c>
      <c r="G506" s="26">
        <f t="shared" ref="G506:H506" si="196">G507</f>
        <v>23231.4</v>
      </c>
      <c r="H506" s="26">
        <f t="shared" si="196"/>
        <v>23542.7</v>
      </c>
    </row>
    <row r="507" spans="1:8" ht="50.25" customHeight="1">
      <c r="A507" s="11" t="s">
        <v>22</v>
      </c>
      <c r="B507" s="12" t="s">
        <v>383</v>
      </c>
      <c r="C507" s="12" t="s">
        <v>96</v>
      </c>
      <c r="D507" s="12" t="s">
        <v>107</v>
      </c>
      <c r="E507" s="12" t="s">
        <v>104</v>
      </c>
      <c r="F507" s="26">
        <v>22894.5</v>
      </c>
      <c r="G507" s="26">
        <v>23231.4</v>
      </c>
      <c r="H507" s="26">
        <v>23542.7</v>
      </c>
    </row>
    <row r="508" spans="1:8" ht="63">
      <c r="A508" s="11" t="s">
        <v>360</v>
      </c>
      <c r="B508" s="12" t="s">
        <v>384</v>
      </c>
      <c r="C508" s="12"/>
      <c r="D508" s="12"/>
      <c r="E508" s="12"/>
      <c r="F508" s="26">
        <f>F509+F511+F513+F517+F519+F521+F515</f>
        <v>78981.5</v>
      </c>
      <c r="G508" s="26">
        <f>G509+G511+G513+G517+G519+G521+G515</f>
        <v>80397.100000000006</v>
      </c>
      <c r="H508" s="26">
        <f>H509+H511+H513+H517+H519+H521+H515</f>
        <v>81028.7</v>
      </c>
    </row>
    <row r="509" spans="1:8" ht="47.25">
      <c r="A509" s="11" t="s">
        <v>120</v>
      </c>
      <c r="B509" s="12" t="s">
        <v>385</v>
      </c>
      <c r="C509" s="12"/>
      <c r="D509" s="12"/>
      <c r="E509" s="12"/>
      <c r="F509" s="26">
        <f>F510</f>
        <v>5</v>
      </c>
      <c r="G509" s="26">
        <f t="shared" ref="G509:H509" si="197">G510</f>
        <v>5</v>
      </c>
      <c r="H509" s="26">
        <f t="shared" si="197"/>
        <v>5</v>
      </c>
    </row>
    <row r="510" spans="1:8" ht="48.75" customHeight="1">
      <c r="A510" s="11" t="s">
        <v>22</v>
      </c>
      <c r="B510" s="12" t="s">
        <v>385</v>
      </c>
      <c r="C510" s="12" t="s">
        <v>96</v>
      </c>
      <c r="D510" s="12" t="s">
        <v>107</v>
      </c>
      <c r="E510" s="12" t="s">
        <v>104</v>
      </c>
      <c r="F510" s="26">
        <v>5</v>
      </c>
      <c r="G510" s="26">
        <v>5</v>
      </c>
      <c r="H510" s="26">
        <v>5</v>
      </c>
    </row>
    <row r="511" spans="1:8" ht="126">
      <c r="A511" s="11" t="s">
        <v>357</v>
      </c>
      <c r="B511" s="12" t="s">
        <v>386</v>
      </c>
      <c r="C511" s="12"/>
      <c r="D511" s="12"/>
      <c r="E511" s="12"/>
      <c r="F511" s="26">
        <f>F512</f>
        <v>137</v>
      </c>
      <c r="G511" s="26">
        <f t="shared" ref="G511:H511" si="198">G512</f>
        <v>137</v>
      </c>
      <c r="H511" s="26">
        <f t="shared" si="198"/>
        <v>137</v>
      </c>
    </row>
    <row r="512" spans="1:8" ht="45.75" customHeight="1">
      <c r="A512" s="11" t="s">
        <v>22</v>
      </c>
      <c r="B512" s="12" t="s">
        <v>386</v>
      </c>
      <c r="C512" s="12" t="s">
        <v>96</v>
      </c>
      <c r="D512" s="12" t="s">
        <v>107</v>
      </c>
      <c r="E512" s="12" t="s">
        <v>104</v>
      </c>
      <c r="F512" s="26">
        <v>137</v>
      </c>
      <c r="G512" s="26">
        <v>137</v>
      </c>
      <c r="H512" s="26">
        <v>137</v>
      </c>
    </row>
    <row r="513" spans="1:8" ht="110.25">
      <c r="A513" s="11" t="s">
        <v>355</v>
      </c>
      <c r="B513" s="12" t="s">
        <v>387</v>
      </c>
      <c r="C513" s="12"/>
      <c r="D513" s="12"/>
      <c r="E513" s="12"/>
      <c r="F513" s="26">
        <f>F514</f>
        <v>18489.7</v>
      </c>
      <c r="G513" s="26">
        <f t="shared" ref="G513:H513" si="199">G514</f>
        <v>18489.7</v>
      </c>
      <c r="H513" s="26">
        <f t="shared" si="199"/>
        <v>18489.7</v>
      </c>
    </row>
    <row r="514" spans="1:8" ht="47.25" customHeight="1">
      <c r="A514" s="11" t="s">
        <v>22</v>
      </c>
      <c r="B514" s="12" t="s">
        <v>387</v>
      </c>
      <c r="C514" s="12" t="s">
        <v>96</v>
      </c>
      <c r="D514" s="12" t="s">
        <v>107</v>
      </c>
      <c r="E514" s="12" t="s">
        <v>104</v>
      </c>
      <c r="F514" s="26">
        <v>18489.7</v>
      </c>
      <c r="G514" s="26">
        <v>18489.7</v>
      </c>
      <c r="H514" s="26">
        <v>18489.7</v>
      </c>
    </row>
    <row r="515" spans="1:8" ht="47.25" customHeight="1">
      <c r="A515" s="23" t="s">
        <v>647</v>
      </c>
      <c r="B515" s="12" t="s">
        <v>646</v>
      </c>
      <c r="C515" s="12"/>
      <c r="D515" s="12"/>
      <c r="E515" s="12"/>
      <c r="F515" s="26">
        <f>F516</f>
        <v>800</v>
      </c>
      <c r="G515" s="26">
        <f t="shared" ref="G515:H515" si="200">G516</f>
        <v>0</v>
      </c>
      <c r="H515" s="26">
        <f t="shared" si="200"/>
        <v>0</v>
      </c>
    </row>
    <row r="516" spans="1:8" ht="47.25" customHeight="1">
      <c r="A516" s="11" t="s">
        <v>22</v>
      </c>
      <c r="B516" s="12" t="s">
        <v>646</v>
      </c>
      <c r="C516" s="12" t="s">
        <v>96</v>
      </c>
      <c r="D516" s="12" t="s">
        <v>107</v>
      </c>
      <c r="E516" s="12" t="s">
        <v>104</v>
      </c>
      <c r="F516" s="26">
        <v>800</v>
      </c>
      <c r="G516" s="26">
        <v>0</v>
      </c>
      <c r="H516" s="26">
        <v>0</v>
      </c>
    </row>
    <row r="517" spans="1:8" ht="63">
      <c r="A517" s="11" t="s">
        <v>361</v>
      </c>
      <c r="B517" s="12" t="s">
        <v>388</v>
      </c>
      <c r="C517" s="12"/>
      <c r="D517" s="12"/>
      <c r="E517" s="12"/>
      <c r="F517" s="26">
        <f>F518</f>
        <v>10000</v>
      </c>
      <c r="G517" s="26">
        <f t="shared" ref="G517:H517" si="201">G518</f>
        <v>10000</v>
      </c>
      <c r="H517" s="26">
        <f t="shared" si="201"/>
        <v>10000</v>
      </c>
    </row>
    <row r="518" spans="1:8" ht="45.75" customHeight="1">
      <c r="A518" s="11" t="s">
        <v>22</v>
      </c>
      <c r="B518" s="12" t="s">
        <v>388</v>
      </c>
      <c r="C518" s="12" t="s">
        <v>96</v>
      </c>
      <c r="D518" s="12" t="s">
        <v>107</v>
      </c>
      <c r="E518" s="12" t="s">
        <v>104</v>
      </c>
      <c r="F518" s="26">
        <v>10000</v>
      </c>
      <c r="G518" s="26">
        <v>10000</v>
      </c>
      <c r="H518" s="26">
        <v>10000</v>
      </c>
    </row>
    <row r="519" spans="1:8" ht="47.25">
      <c r="A519" s="11" t="s">
        <v>362</v>
      </c>
      <c r="B519" s="12" t="s">
        <v>389</v>
      </c>
      <c r="C519" s="12"/>
      <c r="D519" s="12"/>
      <c r="E519" s="12"/>
      <c r="F519" s="26">
        <f>F520</f>
        <v>10000</v>
      </c>
      <c r="G519" s="26">
        <f t="shared" ref="G519:H519" si="202">G520</f>
        <v>10000</v>
      </c>
      <c r="H519" s="26">
        <f t="shared" si="202"/>
        <v>10000</v>
      </c>
    </row>
    <row r="520" spans="1:8" ht="45.75" customHeight="1">
      <c r="A520" s="11" t="s">
        <v>22</v>
      </c>
      <c r="B520" s="12" t="s">
        <v>389</v>
      </c>
      <c r="C520" s="12" t="s">
        <v>96</v>
      </c>
      <c r="D520" s="12" t="s">
        <v>107</v>
      </c>
      <c r="E520" s="12" t="s">
        <v>104</v>
      </c>
      <c r="F520" s="26">
        <v>10000</v>
      </c>
      <c r="G520" s="26">
        <v>10000</v>
      </c>
      <c r="H520" s="26">
        <v>10000</v>
      </c>
    </row>
    <row r="521" spans="1:8" ht="47.25">
      <c r="A521" s="11" t="s">
        <v>363</v>
      </c>
      <c r="B521" s="12" t="s">
        <v>390</v>
      </c>
      <c r="C521" s="12"/>
      <c r="D521" s="12"/>
      <c r="E521" s="12"/>
      <c r="F521" s="26">
        <f>F522</f>
        <v>39549.800000000003</v>
      </c>
      <c r="G521" s="26">
        <f t="shared" ref="G521:H521" si="203">G522</f>
        <v>41765.4</v>
      </c>
      <c r="H521" s="26">
        <f t="shared" si="203"/>
        <v>42397</v>
      </c>
    </row>
    <row r="522" spans="1:8" ht="46.5" customHeight="1">
      <c r="A522" s="11" t="s">
        <v>22</v>
      </c>
      <c r="B522" s="12" t="s">
        <v>390</v>
      </c>
      <c r="C522" s="12" t="s">
        <v>96</v>
      </c>
      <c r="D522" s="12" t="s">
        <v>107</v>
      </c>
      <c r="E522" s="12" t="s">
        <v>104</v>
      </c>
      <c r="F522" s="26">
        <f>41096.1-457.668+81.368-1170</f>
        <v>39549.800000000003</v>
      </c>
      <c r="G522" s="26">
        <v>41765.4</v>
      </c>
      <c r="H522" s="26">
        <v>42397</v>
      </c>
    </row>
    <row r="523" spans="1:8" ht="47.25">
      <c r="A523" s="11" t="s">
        <v>13</v>
      </c>
      <c r="B523" s="12" t="s">
        <v>391</v>
      </c>
      <c r="C523" s="12"/>
      <c r="D523" s="12"/>
      <c r="E523" s="12"/>
      <c r="F523" s="26">
        <f>F524+F527+F529+F531</f>
        <v>10067.9</v>
      </c>
      <c r="G523" s="26">
        <f t="shared" ref="G523:H523" si="204">G524+G527+G529+G531</f>
        <v>10047.9</v>
      </c>
      <c r="H523" s="26">
        <f t="shared" si="204"/>
        <v>10047.9</v>
      </c>
    </row>
    <row r="524" spans="1:8" ht="30" customHeight="1">
      <c r="A524" s="11" t="s">
        <v>14</v>
      </c>
      <c r="B524" s="12" t="s">
        <v>392</v>
      </c>
      <c r="C524" s="12"/>
      <c r="D524" s="12"/>
      <c r="E524" s="12"/>
      <c r="F524" s="26">
        <f>F525+F526</f>
        <v>4604.3999999999996</v>
      </c>
      <c r="G524" s="26">
        <f t="shared" ref="G524:H524" si="205">G525+G526</f>
        <v>4584.3999999999996</v>
      </c>
      <c r="H524" s="26">
        <f t="shared" si="205"/>
        <v>4584.3999999999996</v>
      </c>
    </row>
    <row r="525" spans="1:8" ht="93" customHeight="1">
      <c r="A525" s="11" t="s">
        <v>15</v>
      </c>
      <c r="B525" s="12" t="s">
        <v>392</v>
      </c>
      <c r="C525" s="12" t="s">
        <v>93</v>
      </c>
      <c r="D525" s="12" t="s">
        <v>107</v>
      </c>
      <c r="E525" s="12" t="s">
        <v>101</v>
      </c>
      <c r="F525" s="26">
        <v>4552.3999999999996</v>
      </c>
      <c r="G525" s="26">
        <v>4552.3999999999996</v>
      </c>
      <c r="H525" s="26">
        <v>4552.3999999999996</v>
      </c>
    </row>
    <row r="526" spans="1:8" ht="47.25">
      <c r="A526" s="11" t="s">
        <v>16</v>
      </c>
      <c r="B526" s="12" t="s">
        <v>392</v>
      </c>
      <c r="C526" s="12" t="s">
        <v>94</v>
      </c>
      <c r="D526" s="12" t="s">
        <v>107</v>
      </c>
      <c r="E526" s="12" t="s">
        <v>101</v>
      </c>
      <c r="F526" s="26">
        <f>32+20</f>
        <v>52</v>
      </c>
      <c r="G526" s="26">
        <v>32</v>
      </c>
      <c r="H526" s="26">
        <v>32</v>
      </c>
    </row>
    <row r="527" spans="1:8" ht="31.5">
      <c r="A527" s="11" t="s">
        <v>364</v>
      </c>
      <c r="B527" s="12" t="s">
        <v>393</v>
      </c>
      <c r="C527" s="12"/>
      <c r="D527" s="12"/>
      <c r="E527" s="12"/>
      <c r="F527" s="26">
        <f>F528</f>
        <v>260</v>
      </c>
      <c r="G527" s="26">
        <f t="shared" ref="G527:H527" si="206">G528</f>
        <v>260</v>
      </c>
      <c r="H527" s="26">
        <f t="shared" si="206"/>
        <v>260</v>
      </c>
    </row>
    <row r="528" spans="1:8" ht="31.5">
      <c r="A528" s="11" t="s">
        <v>47</v>
      </c>
      <c r="B528" s="12" t="s">
        <v>393</v>
      </c>
      <c r="C528" s="12" t="s">
        <v>98</v>
      </c>
      <c r="D528" s="12" t="s">
        <v>107</v>
      </c>
      <c r="E528" s="12" t="s">
        <v>101</v>
      </c>
      <c r="F528" s="26">
        <v>260</v>
      </c>
      <c r="G528" s="26">
        <v>260</v>
      </c>
      <c r="H528" s="26">
        <v>260</v>
      </c>
    </row>
    <row r="529" spans="1:8" ht="126">
      <c r="A529" s="11" t="s">
        <v>357</v>
      </c>
      <c r="B529" s="12" t="s">
        <v>394</v>
      </c>
      <c r="C529" s="12"/>
      <c r="D529" s="12"/>
      <c r="E529" s="12"/>
      <c r="F529" s="26">
        <f>F530</f>
        <v>60</v>
      </c>
      <c r="G529" s="26">
        <f t="shared" ref="G529:H529" si="207">G530</f>
        <v>60</v>
      </c>
      <c r="H529" s="26">
        <f t="shared" si="207"/>
        <v>60</v>
      </c>
    </row>
    <row r="530" spans="1:8" ht="31.5">
      <c r="A530" s="11" t="s">
        <v>47</v>
      </c>
      <c r="B530" s="12" t="s">
        <v>394</v>
      </c>
      <c r="C530" s="12" t="s">
        <v>98</v>
      </c>
      <c r="D530" s="12" t="s">
        <v>106</v>
      </c>
      <c r="E530" s="12" t="s">
        <v>100</v>
      </c>
      <c r="F530" s="26">
        <v>60</v>
      </c>
      <c r="G530" s="26">
        <v>60</v>
      </c>
      <c r="H530" s="26">
        <v>60</v>
      </c>
    </row>
    <row r="531" spans="1:8" ht="32.25" customHeight="1">
      <c r="A531" s="11" t="s">
        <v>19</v>
      </c>
      <c r="B531" s="12" t="s">
        <v>395</v>
      </c>
      <c r="C531" s="12"/>
      <c r="D531" s="12"/>
      <c r="E531" s="12"/>
      <c r="F531" s="26">
        <f>F532+F533</f>
        <v>5143.5</v>
      </c>
      <c r="G531" s="26">
        <f t="shared" ref="G531:H531" si="208">G532+G533</f>
        <v>5143.5</v>
      </c>
      <c r="H531" s="26">
        <f t="shared" si="208"/>
        <v>5143.5</v>
      </c>
    </row>
    <row r="532" spans="1:8" ht="95.25" customHeight="1">
      <c r="A532" s="11" t="s">
        <v>15</v>
      </c>
      <c r="B532" s="12" t="s">
        <v>395</v>
      </c>
      <c r="C532" s="12" t="s">
        <v>93</v>
      </c>
      <c r="D532" s="12" t="s">
        <v>107</v>
      </c>
      <c r="E532" s="12" t="s">
        <v>101</v>
      </c>
      <c r="F532" s="26">
        <v>4612.5</v>
      </c>
      <c r="G532" s="26">
        <v>4612.5</v>
      </c>
      <c r="H532" s="26">
        <v>4612.5</v>
      </c>
    </row>
    <row r="533" spans="1:8" ht="47.25">
      <c r="A533" s="11" t="s">
        <v>16</v>
      </c>
      <c r="B533" s="12" t="s">
        <v>395</v>
      </c>
      <c r="C533" s="12" t="s">
        <v>94</v>
      </c>
      <c r="D533" s="12" t="s">
        <v>107</v>
      </c>
      <c r="E533" s="12" t="s">
        <v>101</v>
      </c>
      <c r="F533" s="26">
        <v>531</v>
      </c>
      <c r="G533" s="26">
        <v>531</v>
      </c>
      <c r="H533" s="26">
        <v>531</v>
      </c>
    </row>
    <row r="534" spans="1:8" ht="54.75" customHeight="1">
      <c r="A534" s="11" t="s">
        <v>548</v>
      </c>
      <c r="B534" s="12" t="s">
        <v>549</v>
      </c>
      <c r="C534" s="12"/>
      <c r="D534" s="12"/>
      <c r="E534" s="12"/>
      <c r="F534" s="26">
        <f>F535</f>
        <v>7524.9</v>
      </c>
      <c r="G534" s="26">
        <f t="shared" ref="G534:H534" si="209">G535</f>
        <v>0</v>
      </c>
      <c r="H534" s="26">
        <f t="shared" si="209"/>
        <v>0</v>
      </c>
    </row>
    <row r="535" spans="1:8" ht="78.75">
      <c r="A535" s="16" t="s">
        <v>546</v>
      </c>
      <c r="B535" s="12" t="s">
        <v>547</v>
      </c>
      <c r="C535" s="12"/>
      <c r="D535" s="12"/>
      <c r="E535" s="12"/>
      <c r="F535" s="26">
        <f>F536</f>
        <v>7524.9</v>
      </c>
      <c r="G535" s="26">
        <f t="shared" ref="G535:H535" si="210">G536</f>
        <v>0</v>
      </c>
      <c r="H535" s="26">
        <f t="shared" si="210"/>
        <v>0</v>
      </c>
    </row>
    <row r="536" spans="1:8" ht="47.25" customHeight="1">
      <c r="A536" s="11" t="s">
        <v>22</v>
      </c>
      <c r="B536" s="12" t="s">
        <v>547</v>
      </c>
      <c r="C536" s="12" t="s">
        <v>96</v>
      </c>
      <c r="D536" s="12" t="s">
        <v>152</v>
      </c>
      <c r="E536" s="12" t="s">
        <v>100</v>
      </c>
      <c r="F536" s="26">
        <f>8695.7+457.668-1547.1-81.368</f>
        <v>7524.9</v>
      </c>
      <c r="G536" s="26">
        <v>0</v>
      </c>
      <c r="H536" s="26">
        <v>0</v>
      </c>
    </row>
    <row r="537" spans="1:8" ht="47.25">
      <c r="A537" s="7" t="s">
        <v>396</v>
      </c>
      <c r="B537" s="8" t="s">
        <v>424</v>
      </c>
      <c r="C537" s="8"/>
      <c r="D537" s="8"/>
      <c r="E537" s="8"/>
      <c r="F537" s="24">
        <f>F538+F561+F588</f>
        <v>104495</v>
      </c>
      <c r="G537" s="24">
        <f t="shared" ref="G537:H537" si="211">G538+G561+G588</f>
        <v>101455.3</v>
      </c>
      <c r="H537" s="24">
        <f t="shared" si="211"/>
        <v>101872.90000000001</v>
      </c>
    </row>
    <row r="538" spans="1:8" ht="61.5" customHeight="1">
      <c r="A538" s="9" t="s">
        <v>397</v>
      </c>
      <c r="B538" s="10" t="s">
        <v>425</v>
      </c>
      <c r="C538" s="10"/>
      <c r="D538" s="10"/>
      <c r="E538" s="10"/>
      <c r="F538" s="25">
        <f>F539+F548</f>
        <v>38666</v>
      </c>
      <c r="G538" s="25">
        <f t="shared" ref="G538:H538" si="212">G539+G548</f>
        <v>37988.399999999994</v>
      </c>
      <c r="H538" s="25">
        <f t="shared" si="212"/>
        <v>38183.5</v>
      </c>
    </row>
    <row r="539" spans="1:8" ht="31.5">
      <c r="A539" s="11" t="s">
        <v>398</v>
      </c>
      <c r="B539" s="12" t="s">
        <v>426</v>
      </c>
      <c r="C539" s="12"/>
      <c r="D539" s="12"/>
      <c r="E539" s="12"/>
      <c r="F539" s="26">
        <f>F540+F542+F544+F546</f>
        <v>30855.7</v>
      </c>
      <c r="G539" s="26">
        <f t="shared" ref="G539:H539" si="213">G540+G542+G544+G546</f>
        <v>32046.1</v>
      </c>
      <c r="H539" s="26">
        <f t="shared" si="213"/>
        <v>31946.1</v>
      </c>
    </row>
    <row r="540" spans="1:8" ht="31.5" customHeight="1">
      <c r="A540" s="11" t="s">
        <v>14</v>
      </c>
      <c r="B540" s="12" t="s">
        <v>427</v>
      </c>
      <c r="C540" s="12"/>
      <c r="D540" s="12"/>
      <c r="E540" s="12"/>
      <c r="F540" s="26">
        <f>F541</f>
        <v>27795.9</v>
      </c>
      <c r="G540" s="26">
        <f t="shared" ref="G540:H540" si="214">G541</f>
        <v>28986.3</v>
      </c>
      <c r="H540" s="26">
        <f t="shared" si="214"/>
        <v>29053</v>
      </c>
    </row>
    <row r="541" spans="1:8" ht="93.75" customHeight="1">
      <c r="A541" s="11" t="s">
        <v>15</v>
      </c>
      <c r="B541" s="12" t="s">
        <v>427</v>
      </c>
      <c r="C541" s="12" t="s">
        <v>93</v>
      </c>
      <c r="D541" s="12" t="s">
        <v>104</v>
      </c>
      <c r="E541" s="12" t="s">
        <v>101</v>
      </c>
      <c r="F541" s="26">
        <f>30728.7-916.7-1888.8-61-11.3-35-20</f>
        <v>27795.9</v>
      </c>
      <c r="G541" s="26">
        <f>30728.7-916.7-1888.8+1063.1</f>
        <v>28986.3</v>
      </c>
      <c r="H541" s="26">
        <f>30795.4-916.7-1888.8+1063.1</f>
        <v>29053</v>
      </c>
    </row>
    <row r="542" spans="1:8" ht="47.25">
      <c r="A542" s="11" t="s">
        <v>399</v>
      </c>
      <c r="B542" s="12" t="s">
        <v>428</v>
      </c>
      <c r="C542" s="12"/>
      <c r="D542" s="12"/>
      <c r="E542" s="12"/>
      <c r="F542" s="26">
        <f>F543</f>
        <v>700</v>
      </c>
      <c r="G542" s="26">
        <f t="shared" ref="G542:H542" si="215">G543</f>
        <v>700</v>
      </c>
      <c r="H542" s="26">
        <f t="shared" si="215"/>
        <v>600</v>
      </c>
    </row>
    <row r="543" spans="1:8" ht="47.25">
      <c r="A543" s="11" t="s">
        <v>16</v>
      </c>
      <c r="B543" s="12" t="s">
        <v>428</v>
      </c>
      <c r="C543" s="12" t="s">
        <v>94</v>
      </c>
      <c r="D543" s="12" t="s">
        <v>101</v>
      </c>
      <c r="E543" s="12" t="s">
        <v>103</v>
      </c>
      <c r="F543" s="26">
        <v>700</v>
      </c>
      <c r="G543" s="26">
        <v>700</v>
      </c>
      <c r="H543" s="26">
        <v>600</v>
      </c>
    </row>
    <row r="544" spans="1:8" ht="47.25">
      <c r="A544" s="11" t="s">
        <v>399</v>
      </c>
      <c r="B544" s="12" t="s">
        <v>429</v>
      </c>
      <c r="C544" s="12"/>
      <c r="D544" s="12"/>
      <c r="E544" s="12"/>
      <c r="F544" s="26">
        <f>F545</f>
        <v>466.7</v>
      </c>
      <c r="G544" s="26">
        <f t="shared" ref="G544:H544" si="216">G545</f>
        <v>466.7</v>
      </c>
      <c r="H544" s="26">
        <f t="shared" si="216"/>
        <v>400</v>
      </c>
    </row>
    <row r="545" spans="1:8" ht="47.25">
      <c r="A545" s="11" t="s">
        <v>16</v>
      </c>
      <c r="B545" s="12" t="s">
        <v>429</v>
      </c>
      <c r="C545" s="12" t="s">
        <v>94</v>
      </c>
      <c r="D545" s="12" t="s">
        <v>101</v>
      </c>
      <c r="E545" s="12" t="s">
        <v>103</v>
      </c>
      <c r="F545" s="26">
        <v>466.7</v>
      </c>
      <c r="G545" s="26">
        <v>466.7</v>
      </c>
      <c r="H545" s="26">
        <v>400</v>
      </c>
    </row>
    <row r="546" spans="1:8" ht="31.5">
      <c r="A546" s="11" t="s">
        <v>400</v>
      </c>
      <c r="B546" s="12" t="s">
        <v>430</v>
      </c>
      <c r="C546" s="12"/>
      <c r="D546" s="12"/>
      <c r="E546" s="12"/>
      <c r="F546" s="26">
        <f>F547</f>
        <v>1893.1</v>
      </c>
      <c r="G546" s="26">
        <f t="shared" ref="G546:H546" si="217">G547</f>
        <v>1893.1</v>
      </c>
      <c r="H546" s="26">
        <f t="shared" si="217"/>
        <v>1893.1</v>
      </c>
    </row>
    <row r="547" spans="1:8" ht="96.75" customHeight="1">
      <c r="A547" s="11" t="s">
        <v>15</v>
      </c>
      <c r="B547" s="12" t="s">
        <v>430</v>
      </c>
      <c r="C547" s="12" t="s">
        <v>93</v>
      </c>
      <c r="D547" s="12" t="s">
        <v>104</v>
      </c>
      <c r="E547" s="12" t="s">
        <v>102</v>
      </c>
      <c r="F547" s="26">
        <f t="shared" ref="F547:H547" si="218">2350-456.9</f>
        <v>1893.1</v>
      </c>
      <c r="G547" s="26">
        <f t="shared" si="218"/>
        <v>1893.1</v>
      </c>
      <c r="H547" s="26">
        <f t="shared" si="218"/>
        <v>1893.1</v>
      </c>
    </row>
    <row r="548" spans="1:8" ht="78.75">
      <c r="A548" s="11" t="s">
        <v>401</v>
      </c>
      <c r="B548" s="12" t="s">
        <v>431</v>
      </c>
      <c r="C548" s="12"/>
      <c r="D548" s="12"/>
      <c r="E548" s="12"/>
      <c r="F548" s="26">
        <f>F549+F551+F555+F558</f>
        <v>7810.2999999999993</v>
      </c>
      <c r="G548" s="26">
        <f t="shared" ref="G548:H548" si="219">G549+G551+G555+G558</f>
        <v>5942.2999999999993</v>
      </c>
      <c r="H548" s="26">
        <f t="shared" si="219"/>
        <v>6237.4</v>
      </c>
    </row>
    <row r="549" spans="1:8" ht="78.75">
      <c r="A549" s="11" t="s">
        <v>402</v>
      </c>
      <c r="B549" s="12" t="s">
        <v>432</v>
      </c>
      <c r="C549" s="12"/>
      <c r="D549" s="12"/>
      <c r="E549" s="12"/>
      <c r="F549" s="26">
        <f>F550</f>
        <v>20</v>
      </c>
      <c r="G549" s="26">
        <f t="shared" ref="G549:H549" si="220">G550</f>
        <v>21</v>
      </c>
      <c r="H549" s="26">
        <f t="shared" si="220"/>
        <v>22.1</v>
      </c>
    </row>
    <row r="550" spans="1:8" ht="47.25">
      <c r="A550" s="11" t="s">
        <v>16</v>
      </c>
      <c r="B550" s="12" t="s">
        <v>432</v>
      </c>
      <c r="C550" s="12" t="s">
        <v>94</v>
      </c>
      <c r="D550" s="12" t="s">
        <v>104</v>
      </c>
      <c r="E550" s="12" t="s">
        <v>99</v>
      </c>
      <c r="F550" s="26">
        <v>20</v>
      </c>
      <c r="G550" s="26">
        <v>21</v>
      </c>
      <c r="H550" s="26">
        <v>22.1</v>
      </c>
    </row>
    <row r="551" spans="1:8" ht="63">
      <c r="A551" s="11" t="s">
        <v>403</v>
      </c>
      <c r="B551" s="12" t="s">
        <v>433</v>
      </c>
      <c r="C551" s="12"/>
      <c r="D551" s="12"/>
      <c r="E551" s="12"/>
      <c r="F551" s="26">
        <f>F552+F553+F554</f>
        <v>5988</v>
      </c>
      <c r="G551" s="26">
        <f>G552+G553+G554</f>
        <v>4119</v>
      </c>
      <c r="H551" s="26">
        <f>H552+H553+H554</f>
        <v>4413</v>
      </c>
    </row>
    <row r="552" spans="1:8" ht="92.25" customHeight="1">
      <c r="A552" s="11" t="s">
        <v>15</v>
      </c>
      <c r="B552" s="12" t="s">
        <v>433</v>
      </c>
      <c r="C552" s="12" t="s">
        <v>93</v>
      </c>
      <c r="D552" s="12" t="s">
        <v>104</v>
      </c>
      <c r="E552" s="12" t="s">
        <v>186</v>
      </c>
      <c r="F552" s="26">
        <f>4126.7-0.10078-200.5</f>
        <v>3926.0992200000001</v>
      </c>
      <c r="G552" s="26">
        <v>4119</v>
      </c>
      <c r="H552" s="26">
        <v>3418.4</v>
      </c>
    </row>
    <row r="553" spans="1:8" ht="47.25">
      <c r="A553" s="11" t="s">
        <v>16</v>
      </c>
      <c r="B553" s="12" t="s">
        <v>433</v>
      </c>
      <c r="C553" s="12" t="s">
        <v>94</v>
      </c>
      <c r="D553" s="12" t="s">
        <v>104</v>
      </c>
      <c r="E553" s="12" t="s">
        <v>186</v>
      </c>
      <c r="F553" s="26">
        <f>1162.3+600+200.5+99</f>
        <v>2061.8000000000002</v>
      </c>
      <c r="G553" s="26">
        <v>0</v>
      </c>
      <c r="H553" s="26">
        <v>994.6</v>
      </c>
    </row>
    <row r="554" spans="1:8">
      <c r="A554" s="11" t="s">
        <v>550</v>
      </c>
      <c r="B554" s="12" t="s">
        <v>433</v>
      </c>
      <c r="C554" s="12" t="s">
        <v>95</v>
      </c>
      <c r="D554" s="12" t="s">
        <v>104</v>
      </c>
      <c r="E554" s="12" t="s">
        <v>186</v>
      </c>
      <c r="F554" s="26">
        <v>0.10077999999999999</v>
      </c>
      <c r="G554" s="26">
        <v>0</v>
      </c>
      <c r="H554" s="26">
        <v>0</v>
      </c>
    </row>
    <row r="555" spans="1:8" ht="47.25">
      <c r="A555" s="11" t="s">
        <v>404</v>
      </c>
      <c r="B555" s="12" t="s">
        <v>434</v>
      </c>
      <c r="C555" s="12"/>
      <c r="D555" s="12"/>
      <c r="E555" s="12"/>
      <c r="F555" s="26">
        <f>F556+F557</f>
        <v>895.9</v>
      </c>
      <c r="G555" s="26">
        <f t="shared" ref="G555:H555" si="221">G556+G557</f>
        <v>895.9</v>
      </c>
      <c r="H555" s="26">
        <f t="shared" si="221"/>
        <v>895.9</v>
      </c>
    </row>
    <row r="556" spans="1:8" ht="96" customHeight="1">
      <c r="A556" s="11" t="s">
        <v>15</v>
      </c>
      <c r="B556" s="12" t="s">
        <v>434</v>
      </c>
      <c r="C556" s="12" t="s">
        <v>93</v>
      </c>
      <c r="D556" s="12" t="s">
        <v>104</v>
      </c>
      <c r="E556" s="12" t="s">
        <v>101</v>
      </c>
      <c r="F556" s="26">
        <v>749.4</v>
      </c>
      <c r="G556" s="26">
        <v>749.4</v>
      </c>
      <c r="H556" s="26">
        <v>749.4</v>
      </c>
    </row>
    <row r="557" spans="1:8" ht="47.25">
      <c r="A557" s="11" t="s">
        <v>16</v>
      </c>
      <c r="B557" s="12" t="s">
        <v>434</v>
      </c>
      <c r="C557" s="12" t="s">
        <v>94</v>
      </c>
      <c r="D557" s="12" t="s">
        <v>104</v>
      </c>
      <c r="E557" s="12" t="s">
        <v>101</v>
      </c>
      <c r="F557" s="26">
        <v>146.5</v>
      </c>
      <c r="G557" s="26">
        <v>146.5</v>
      </c>
      <c r="H557" s="26">
        <v>146.5</v>
      </c>
    </row>
    <row r="558" spans="1:8" ht="48" customHeight="1">
      <c r="A558" s="11" t="s">
        <v>405</v>
      </c>
      <c r="B558" s="12" t="s">
        <v>435</v>
      </c>
      <c r="C558" s="12"/>
      <c r="D558" s="12"/>
      <c r="E558" s="12"/>
      <c r="F558" s="26">
        <f>F559+F560</f>
        <v>906.40000000000009</v>
      </c>
      <c r="G558" s="26">
        <f t="shared" ref="G558:H558" si="222">G559+G560</f>
        <v>906.40000000000009</v>
      </c>
      <c r="H558" s="26">
        <f t="shared" si="222"/>
        <v>906.40000000000009</v>
      </c>
    </row>
    <row r="559" spans="1:8" ht="96" customHeight="1">
      <c r="A559" s="11" t="s">
        <v>15</v>
      </c>
      <c r="B559" s="12" t="s">
        <v>435</v>
      </c>
      <c r="C559" s="12" t="s">
        <v>93</v>
      </c>
      <c r="D559" s="12" t="s">
        <v>104</v>
      </c>
      <c r="E559" s="12" t="s">
        <v>101</v>
      </c>
      <c r="F559" s="26">
        <v>756.6</v>
      </c>
      <c r="G559" s="26">
        <v>756.6</v>
      </c>
      <c r="H559" s="26">
        <v>756.6</v>
      </c>
    </row>
    <row r="560" spans="1:8" ht="47.25">
      <c r="A560" s="11" t="s">
        <v>16</v>
      </c>
      <c r="B560" s="12" t="s">
        <v>435</v>
      </c>
      <c r="C560" s="12" t="s">
        <v>94</v>
      </c>
      <c r="D560" s="12" t="s">
        <v>104</v>
      </c>
      <c r="E560" s="12" t="s">
        <v>101</v>
      </c>
      <c r="F560" s="26">
        <v>149.80000000000001</v>
      </c>
      <c r="G560" s="26">
        <v>149.80000000000001</v>
      </c>
      <c r="H560" s="26">
        <v>149.80000000000001</v>
      </c>
    </row>
    <row r="561" spans="1:8" ht="78.75">
      <c r="A561" s="9" t="s">
        <v>406</v>
      </c>
      <c r="B561" s="10" t="s">
        <v>436</v>
      </c>
      <c r="C561" s="10"/>
      <c r="D561" s="10"/>
      <c r="E561" s="10"/>
      <c r="F561" s="25">
        <f>F562+F570+F575+F585</f>
        <v>58319.199999999997</v>
      </c>
      <c r="G561" s="25">
        <f t="shared" ref="G561:H561" si="223">G562+G570+G575+G585</f>
        <v>58263.400000000009</v>
      </c>
      <c r="H561" s="25">
        <f t="shared" si="223"/>
        <v>58485.900000000009</v>
      </c>
    </row>
    <row r="562" spans="1:8" ht="47.25">
      <c r="A562" s="11" t="s">
        <v>407</v>
      </c>
      <c r="B562" s="12" t="s">
        <v>437</v>
      </c>
      <c r="C562" s="12"/>
      <c r="D562" s="12"/>
      <c r="E562" s="12"/>
      <c r="F562" s="26">
        <f>F563+F567</f>
        <v>20770.900000000001</v>
      </c>
      <c r="G562" s="26">
        <f t="shared" ref="G562:H562" si="224">G563+G567</f>
        <v>20992.400000000001</v>
      </c>
      <c r="H562" s="26">
        <f t="shared" si="224"/>
        <v>21214.9</v>
      </c>
    </row>
    <row r="563" spans="1:8" ht="62.25" customHeight="1">
      <c r="A563" s="11" t="s">
        <v>408</v>
      </c>
      <c r="B563" s="12" t="s">
        <v>438</v>
      </c>
      <c r="C563" s="12"/>
      <c r="D563" s="12"/>
      <c r="E563" s="12"/>
      <c r="F563" s="26">
        <f>F564+F565+F566</f>
        <v>17311.5</v>
      </c>
      <c r="G563" s="26">
        <f t="shared" ref="G563:H563" si="225">G564+G565+G566</f>
        <v>17533</v>
      </c>
      <c r="H563" s="26">
        <f t="shared" si="225"/>
        <v>17755.5</v>
      </c>
    </row>
    <row r="564" spans="1:8" ht="94.5" customHeight="1">
      <c r="A564" s="11" t="s">
        <v>15</v>
      </c>
      <c r="B564" s="12" t="s">
        <v>438</v>
      </c>
      <c r="C564" s="12" t="s">
        <v>93</v>
      </c>
      <c r="D564" s="12" t="s">
        <v>104</v>
      </c>
      <c r="E564" s="12" t="s">
        <v>186</v>
      </c>
      <c r="F564" s="26">
        <v>8928.2000000000007</v>
      </c>
      <c r="G564" s="26">
        <v>9149.7000000000007</v>
      </c>
      <c r="H564" s="26">
        <v>9372.2000000000007</v>
      </c>
    </row>
    <row r="565" spans="1:8" ht="47.25">
      <c r="A565" s="11" t="s">
        <v>16</v>
      </c>
      <c r="B565" s="12" t="s">
        <v>438</v>
      </c>
      <c r="C565" s="12" t="s">
        <v>94</v>
      </c>
      <c r="D565" s="12" t="s">
        <v>104</v>
      </c>
      <c r="E565" s="12" t="s">
        <v>186</v>
      </c>
      <c r="F565" s="26">
        <v>7853.3</v>
      </c>
      <c r="G565" s="26">
        <v>7853.3</v>
      </c>
      <c r="H565" s="26">
        <v>7853.3</v>
      </c>
    </row>
    <row r="566" spans="1:8">
      <c r="A566" s="11" t="s">
        <v>18</v>
      </c>
      <c r="B566" s="12" t="s">
        <v>438</v>
      </c>
      <c r="C566" s="12" t="s">
        <v>95</v>
      </c>
      <c r="D566" s="12" t="s">
        <v>104</v>
      </c>
      <c r="E566" s="12" t="s">
        <v>186</v>
      </c>
      <c r="F566" s="26">
        <v>530</v>
      </c>
      <c r="G566" s="26">
        <v>530</v>
      </c>
      <c r="H566" s="26">
        <v>530</v>
      </c>
    </row>
    <row r="567" spans="1:8" ht="31.5" customHeight="1">
      <c r="A567" s="11" t="s">
        <v>19</v>
      </c>
      <c r="B567" s="12" t="s">
        <v>439</v>
      </c>
      <c r="C567" s="12"/>
      <c r="D567" s="12"/>
      <c r="E567" s="12"/>
      <c r="F567" s="26">
        <f>F568+F569</f>
        <v>3459.4</v>
      </c>
      <c r="G567" s="26">
        <f t="shared" ref="G567:H567" si="226">G568+G569</f>
        <v>3459.4</v>
      </c>
      <c r="H567" s="26">
        <f t="shared" si="226"/>
        <v>3459.4</v>
      </c>
    </row>
    <row r="568" spans="1:8" ht="93" customHeight="1">
      <c r="A568" s="11" t="s">
        <v>15</v>
      </c>
      <c r="B568" s="12" t="s">
        <v>439</v>
      </c>
      <c r="C568" s="12" t="s">
        <v>93</v>
      </c>
      <c r="D568" s="12" t="s">
        <v>104</v>
      </c>
      <c r="E568" s="12" t="s">
        <v>186</v>
      </c>
      <c r="F568" s="26">
        <v>3167.6</v>
      </c>
      <c r="G568" s="26">
        <v>3167.6</v>
      </c>
      <c r="H568" s="26">
        <v>3167.6</v>
      </c>
    </row>
    <row r="569" spans="1:8" ht="47.25">
      <c r="A569" s="11" t="s">
        <v>16</v>
      </c>
      <c r="B569" s="12" t="s">
        <v>439</v>
      </c>
      <c r="C569" s="12" t="s">
        <v>94</v>
      </c>
      <c r="D569" s="12" t="s">
        <v>104</v>
      </c>
      <c r="E569" s="12" t="s">
        <v>186</v>
      </c>
      <c r="F569" s="26">
        <v>291.8</v>
      </c>
      <c r="G569" s="26">
        <v>291.8</v>
      </c>
      <c r="H569" s="26">
        <v>291.8</v>
      </c>
    </row>
    <row r="570" spans="1:8" ht="63">
      <c r="A570" s="11" t="s">
        <v>409</v>
      </c>
      <c r="B570" s="12" t="s">
        <v>440</v>
      </c>
      <c r="C570" s="12"/>
      <c r="D570" s="12"/>
      <c r="E570" s="12"/>
      <c r="F570" s="26">
        <f>F571+F573</f>
        <v>762.7</v>
      </c>
      <c r="G570" s="26">
        <f t="shared" ref="G570:H570" si="227">G571+G573</f>
        <v>762.7</v>
      </c>
      <c r="H570" s="26">
        <f t="shared" si="227"/>
        <v>762.7</v>
      </c>
    </row>
    <row r="571" spans="1:8" ht="63">
      <c r="A571" s="11" t="s">
        <v>410</v>
      </c>
      <c r="B571" s="12" t="s">
        <v>441</v>
      </c>
      <c r="C571" s="12"/>
      <c r="D571" s="12"/>
      <c r="E571" s="12"/>
      <c r="F571" s="26">
        <f>F572</f>
        <v>582.70000000000005</v>
      </c>
      <c r="G571" s="26">
        <f t="shared" ref="G571:H571" si="228">G572</f>
        <v>582.70000000000005</v>
      </c>
      <c r="H571" s="26">
        <f t="shared" si="228"/>
        <v>582.70000000000005</v>
      </c>
    </row>
    <row r="572" spans="1:8" ht="47.25">
      <c r="A572" s="11" t="s">
        <v>16</v>
      </c>
      <c r="B572" s="12" t="s">
        <v>441</v>
      </c>
      <c r="C572" s="12" t="s">
        <v>94</v>
      </c>
      <c r="D572" s="12" t="s">
        <v>104</v>
      </c>
      <c r="E572" s="12" t="s">
        <v>186</v>
      </c>
      <c r="F572" s="26">
        <v>582.70000000000005</v>
      </c>
      <c r="G572" s="26">
        <v>582.70000000000005</v>
      </c>
      <c r="H572" s="26">
        <v>582.70000000000005</v>
      </c>
    </row>
    <row r="573" spans="1:8" ht="47.25">
      <c r="A573" s="11" t="s">
        <v>411</v>
      </c>
      <c r="B573" s="12" t="s">
        <v>442</v>
      </c>
      <c r="C573" s="12"/>
      <c r="D573" s="12"/>
      <c r="E573" s="12"/>
      <c r="F573" s="26">
        <f>F574</f>
        <v>180</v>
      </c>
      <c r="G573" s="26">
        <f t="shared" ref="G573:H573" si="229">G574</f>
        <v>180</v>
      </c>
      <c r="H573" s="26">
        <f t="shared" si="229"/>
        <v>180</v>
      </c>
    </row>
    <row r="574" spans="1:8" ht="47.25">
      <c r="A574" s="11" t="s">
        <v>16</v>
      </c>
      <c r="B574" s="12" t="s">
        <v>442</v>
      </c>
      <c r="C574" s="12" t="s">
        <v>94</v>
      </c>
      <c r="D574" s="12" t="s">
        <v>104</v>
      </c>
      <c r="E574" s="12" t="s">
        <v>186</v>
      </c>
      <c r="F574" s="26">
        <v>180</v>
      </c>
      <c r="G574" s="26">
        <v>180</v>
      </c>
      <c r="H574" s="26">
        <v>180</v>
      </c>
    </row>
    <row r="575" spans="1:8" ht="47.25">
      <c r="A575" s="11" t="s">
        <v>13</v>
      </c>
      <c r="B575" s="12" t="s">
        <v>443</v>
      </c>
      <c r="C575" s="12"/>
      <c r="D575" s="12"/>
      <c r="E575" s="12"/>
      <c r="F575" s="26">
        <f>F576+F583+F581</f>
        <v>36295.599999999999</v>
      </c>
      <c r="G575" s="26">
        <f>G576+G583+G581</f>
        <v>36018.300000000003</v>
      </c>
      <c r="H575" s="26">
        <f>H576+H583+H581</f>
        <v>36018.300000000003</v>
      </c>
    </row>
    <row r="576" spans="1:8" ht="47.25">
      <c r="A576" s="11" t="s">
        <v>412</v>
      </c>
      <c r="B576" s="12" t="s">
        <v>444</v>
      </c>
      <c r="C576" s="12"/>
      <c r="D576" s="12"/>
      <c r="E576" s="12"/>
      <c r="F576" s="26">
        <f>F577+F578+F579+F580</f>
        <v>35669.299999999996</v>
      </c>
      <c r="G576" s="26">
        <f t="shared" ref="G576:H576" si="230">G577+G578+G579+G580</f>
        <v>35519.300000000003</v>
      </c>
      <c r="H576" s="26">
        <f t="shared" si="230"/>
        <v>35519.300000000003</v>
      </c>
    </row>
    <row r="577" spans="1:8" ht="95.25" customHeight="1">
      <c r="A577" s="11" t="s">
        <v>15</v>
      </c>
      <c r="B577" s="12" t="s">
        <v>444</v>
      </c>
      <c r="C577" s="12" t="s">
        <v>93</v>
      </c>
      <c r="D577" s="12" t="s">
        <v>104</v>
      </c>
      <c r="E577" s="12" t="s">
        <v>186</v>
      </c>
      <c r="F577" s="26">
        <v>29984.2</v>
      </c>
      <c r="G577" s="26">
        <v>29984.2</v>
      </c>
      <c r="H577" s="26">
        <v>29984.2</v>
      </c>
    </row>
    <row r="578" spans="1:8" ht="47.25">
      <c r="A578" s="11" t="s">
        <v>16</v>
      </c>
      <c r="B578" s="12" t="s">
        <v>444</v>
      </c>
      <c r="C578" s="12" t="s">
        <v>94</v>
      </c>
      <c r="D578" s="12" t="s">
        <v>104</v>
      </c>
      <c r="E578" s="12" t="s">
        <v>186</v>
      </c>
      <c r="F578" s="26">
        <f>2639.5+150</f>
        <v>2789.5</v>
      </c>
      <c r="G578" s="26">
        <v>2639.5</v>
      </c>
      <c r="H578" s="26">
        <v>2639.5</v>
      </c>
    </row>
    <row r="579" spans="1:8" ht="46.5" customHeight="1">
      <c r="A579" s="11" t="s">
        <v>22</v>
      </c>
      <c r="B579" s="12" t="s">
        <v>444</v>
      </c>
      <c r="C579" s="12" t="s">
        <v>96</v>
      </c>
      <c r="D579" s="12" t="s">
        <v>101</v>
      </c>
      <c r="E579" s="12" t="s">
        <v>103</v>
      </c>
      <c r="F579" s="26">
        <v>2875.6</v>
      </c>
      <c r="G579" s="26">
        <v>2875.6</v>
      </c>
      <c r="H579" s="26">
        <v>2875.6</v>
      </c>
    </row>
    <row r="580" spans="1:8">
      <c r="A580" s="11" t="s">
        <v>18</v>
      </c>
      <c r="B580" s="12" t="s">
        <v>444</v>
      </c>
      <c r="C580" s="12" t="s">
        <v>95</v>
      </c>
      <c r="D580" s="12" t="s">
        <v>104</v>
      </c>
      <c r="E580" s="12" t="s">
        <v>186</v>
      </c>
      <c r="F580" s="26">
        <v>20</v>
      </c>
      <c r="G580" s="26">
        <v>20</v>
      </c>
      <c r="H580" s="26">
        <v>20</v>
      </c>
    </row>
    <row r="581" spans="1:8">
      <c r="A581" s="16" t="s">
        <v>567</v>
      </c>
      <c r="B581" s="12" t="s">
        <v>566</v>
      </c>
      <c r="C581" s="12"/>
      <c r="D581" s="12"/>
      <c r="E581" s="12"/>
      <c r="F581" s="26">
        <f>F582</f>
        <v>127.3</v>
      </c>
      <c r="G581" s="26">
        <f>G582</f>
        <v>0</v>
      </c>
      <c r="H581" s="26">
        <f>H582</f>
        <v>0</v>
      </c>
    </row>
    <row r="582" spans="1:8">
      <c r="A582" s="11" t="s">
        <v>18</v>
      </c>
      <c r="B582" s="12" t="s">
        <v>566</v>
      </c>
      <c r="C582" s="12" t="s">
        <v>95</v>
      </c>
      <c r="D582" s="12" t="s">
        <v>104</v>
      </c>
      <c r="E582" s="12" t="s">
        <v>186</v>
      </c>
      <c r="F582" s="26">
        <f>61+11.3+35+20</f>
        <v>127.3</v>
      </c>
      <c r="G582" s="26">
        <v>0</v>
      </c>
      <c r="H582" s="26">
        <v>0</v>
      </c>
    </row>
    <row r="583" spans="1:8" ht="78.75">
      <c r="A583" s="11" t="s">
        <v>413</v>
      </c>
      <c r="B583" s="12" t="s">
        <v>445</v>
      </c>
      <c r="C583" s="12"/>
      <c r="D583" s="12"/>
      <c r="E583" s="12"/>
      <c r="F583" s="26">
        <f>F584</f>
        <v>499</v>
      </c>
      <c r="G583" s="26">
        <f t="shared" ref="G583:H583" si="231">G584</f>
        <v>499</v>
      </c>
      <c r="H583" s="26">
        <f t="shared" si="231"/>
        <v>499</v>
      </c>
    </row>
    <row r="584" spans="1:8" ht="31.5">
      <c r="A584" s="11" t="s">
        <v>47</v>
      </c>
      <c r="B584" s="12" t="s">
        <v>445</v>
      </c>
      <c r="C584" s="12" t="s">
        <v>98</v>
      </c>
      <c r="D584" s="12" t="s">
        <v>104</v>
      </c>
      <c r="E584" s="12" t="s">
        <v>186</v>
      </c>
      <c r="F584" s="26">
        <v>499</v>
      </c>
      <c r="G584" s="26">
        <v>499</v>
      </c>
      <c r="H584" s="26">
        <v>499</v>
      </c>
    </row>
    <row r="585" spans="1:8" ht="47.25">
      <c r="A585" s="11" t="s">
        <v>414</v>
      </c>
      <c r="B585" s="12" t="s">
        <v>446</v>
      </c>
      <c r="C585" s="12"/>
      <c r="D585" s="12"/>
      <c r="E585" s="12"/>
      <c r="F585" s="26">
        <f>F586</f>
        <v>490</v>
      </c>
      <c r="G585" s="26">
        <f t="shared" ref="G585:H586" si="232">G586</f>
        <v>490</v>
      </c>
      <c r="H585" s="26">
        <f t="shared" si="232"/>
        <v>490</v>
      </c>
    </row>
    <row r="586" spans="1:8" ht="31.5">
      <c r="A586" s="11" t="s">
        <v>415</v>
      </c>
      <c r="B586" s="12" t="s">
        <v>447</v>
      </c>
      <c r="C586" s="12"/>
      <c r="D586" s="12"/>
      <c r="E586" s="12"/>
      <c r="F586" s="26">
        <f>F587</f>
        <v>490</v>
      </c>
      <c r="G586" s="26">
        <f t="shared" si="232"/>
        <v>490</v>
      </c>
      <c r="H586" s="26">
        <f t="shared" si="232"/>
        <v>490</v>
      </c>
    </row>
    <row r="587" spans="1:8" ht="31.5">
      <c r="A587" s="11" t="s">
        <v>47</v>
      </c>
      <c r="B587" s="12" t="s">
        <v>447</v>
      </c>
      <c r="C587" s="12" t="s">
        <v>98</v>
      </c>
      <c r="D587" s="12" t="s">
        <v>100</v>
      </c>
      <c r="E587" s="12" t="s">
        <v>456</v>
      </c>
      <c r="F587" s="26">
        <v>490</v>
      </c>
      <c r="G587" s="26">
        <v>490</v>
      </c>
      <c r="H587" s="26">
        <v>490</v>
      </c>
    </row>
    <row r="588" spans="1:8" ht="47.25">
      <c r="A588" s="9" t="s">
        <v>416</v>
      </c>
      <c r="B588" s="10" t="s">
        <v>448</v>
      </c>
      <c r="C588" s="10"/>
      <c r="D588" s="10"/>
      <c r="E588" s="10"/>
      <c r="F588" s="25">
        <f>F589</f>
        <v>7509.7999999999993</v>
      </c>
      <c r="G588" s="25">
        <f t="shared" ref="G588:H589" si="233">G589</f>
        <v>5203.5</v>
      </c>
      <c r="H588" s="25">
        <f t="shared" si="233"/>
        <v>5203.5</v>
      </c>
    </row>
    <row r="589" spans="1:8" ht="63">
      <c r="A589" s="11" t="s">
        <v>417</v>
      </c>
      <c r="B589" s="12" t="s">
        <v>449</v>
      </c>
      <c r="C589" s="12"/>
      <c r="D589" s="12"/>
      <c r="E589" s="12"/>
      <c r="F589" s="26">
        <f>F590</f>
        <v>7509.7999999999993</v>
      </c>
      <c r="G589" s="26">
        <f t="shared" si="233"/>
        <v>5203.5</v>
      </c>
      <c r="H589" s="26">
        <f t="shared" si="233"/>
        <v>5203.5</v>
      </c>
    </row>
    <row r="590" spans="1:8" ht="63">
      <c r="A590" s="11" t="s">
        <v>418</v>
      </c>
      <c r="B590" s="12" t="s">
        <v>450</v>
      </c>
      <c r="C590" s="12"/>
      <c r="D590" s="12"/>
      <c r="E590" s="12"/>
      <c r="F590" s="26">
        <f>F591+F592</f>
        <v>7509.7999999999993</v>
      </c>
      <c r="G590" s="26">
        <f t="shared" ref="G590:H590" si="234">G591+G592</f>
        <v>5203.5</v>
      </c>
      <c r="H590" s="26">
        <f t="shared" si="234"/>
        <v>5203.5</v>
      </c>
    </row>
    <row r="591" spans="1:8" ht="48.75" customHeight="1">
      <c r="A591" s="11" t="s">
        <v>22</v>
      </c>
      <c r="B591" s="12" t="s">
        <v>450</v>
      </c>
      <c r="C591" s="12" t="s">
        <v>96</v>
      </c>
      <c r="D591" s="12" t="s">
        <v>103</v>
      </c>
      <c r="E591" s="12" t="s">
        <v>104</v>
      </c>
      <c r="F591" s="26">
        <f>1350.3+2434.73</f>
        <v>3785.0299999999997</v>
      </c>
      <c r="G591" s="26">
        <v>1350.3</v>
      </c>
      <c r="H591" s="26">
        <v>1350.3</v>
      </c>
    </row>
    <row r="592" spans="1:8" ht="45" customHeight="1">
      <c r="A592" s="11" t="s">
        <v>22</v>
      </c>
      <c r="B592" s="12" t="s">
        <v>450</v>
      </c>
      <c r="C592" s="12" t="s">
        <v>96</v>
      </c>
      <c r="D592" s="12" t="s">
        <v>103</v>
      </c>
      <c r="E592" s="12" t="s">
        <v>102</v>
      </c>
      <c r="F592" s="26">
        <f>3853.2-128.43</f>
        <v>3724.77</v>
      </c>
      <c r="G592" s="26">
        <v>3853.2</v>
      </c>
      <c r="H592" s="26">
        <v>3853.2</v>
      </c>
    </row>
    <row r="593" spans="1:8" ht="63">
      <c r="A593" s="7" t="s">
        <v>419</v>
      </c>
      <c r="B593" s="8" t="s">
        <v>451</v>
      </c>
      <c r="C593" s="8"/>
      <c r="D593" s="8"/>
      <c r="E593" s="8"/>
      <c r="F593" s="24">
        <f>F594+F597</f>
        <v>1589</v>
      </c>
      <c r="G593" s="24">
        <f t="shared" ref="G593:H593" si="235">G594+G597</f>
        <v>1589</v>
      </c>
      <c r="H593" s="24">
        <f t="shared" si="235"/>
        <v>1589</v>
      </c>
    </row>
    <row r="594" spans="1:8" ht="47.25">
      <c r="A594" s="11" t="s">
        <v>420</v>
      </c>
      <c r="B594" s="12" t="s">
        <v>452</v>
      </c>
      <c r="C594" s="12"/>
      <c r="D594" s="12"/>
      <c r="E594" s="12"/>
      <c r="F594" s="26">
        <f>F595</f>
        <v>300</v>
      </c>
      <c r="G594" s="26">
        <f t="shared" ref="G594:H595" si="236">G595</f>
        <v>300</v>
      </c>
      <c r="H594" s="26">
        <f t="shared" si="236"/>
        <v>300</v>
      </c>
    </row>
    <row r="595" spans="1:8" ht="78.75">
      <c r="A595" s="11" t="s">
        <v>421</v>
      </c>
      <c r="B595" s="12" t="s">
        <v>453</v>
      </c>
      <c r="C595" s="12"/>
      <c r="D595" s="12"/>
      <c r="E595" s="12"/>
      <c r="F595" s="26">
        <f>F596</f>
        <v>300</v>
      </c>
      <c r="G595" s="26">
        <f t="shared" si="236"/>
        <v>300</v>
      </c>
      <c r="H595" s="26">
        <f t="shared" si="236"/>
        <v>300</v>
      </c>
    </row>
    <row r="596" spans="1:8">
      <c r="A596" s="11" t="s">
        <v>18</v>
      </c>
      <c r="B596" s="12" t="s">
        <v>453</v>
      </c>
      <c r="C596" s="12" t="s">
        <v>95</v>
      </c>
      <c r="D596" s="12" t="s">
        <v>101</v>
      </c>
      <c r="E596" s="12" t="s">
        <v>103</v>
      </c>
      <c r="F596" s="26">
        <v>300</v>
      </c>
      <c r="G596" s="26">
        <v>300</v>
      </c>
      <c r="H596" s="26">
        <v>300</v>
      </c>
    </row>
    <row r="597" spans="1:8" ht="47.25">
      <c r="A597" s="11" t="s">
        <v>422</v>
      </c>
      <c r="B597" s="12" t="s">
        <v>454</v>
      </c>
      <c r="C597" s="12"/>
      <c r="D597" s="12"/>
      <c r="E597" s="12"/>
      <c r="F597" s="26">
        <f>F598</f>
        <v>1289</v>
      </c>
      <c r="G597" s="26">
        <f t="shared" ref="G597:H598" si="237">G598</f>
        <v>1289</v>
      </c>
      <c r="H597" s="26">
        <f t="shared" si="237"/>
        <v>1289</v>
      </c>
    </row>
    <row r="598" spans="1:8" ht="63">
      <c r="A598" s="11" t="s">
        <v>423</v>
      </c>
      <c r="B598" s="12" t="s">
        <v>455</v>
      </c>
      <c r="C598" s="12"/>
      <c r="D598" s="12"/>
      <c r="E598" s="12"/>
      <c r="F598" s="26">
        <f>F599</f>
        <v>1289</v>
      </c>
      <c r="G598" s="26">
        <f t="shared" si="237"/>
        <v>1289</v>
      </c>
      <c r="H598" s="26">
        <f t="shared" si="237"/>
        <v>1289</v>
      </c>
    </row>
    <row r="599" spans="1:8" ht="46.5" customHeight="1">
      <c r="A599" s="11" t="s">
        <v>22</v>
      </c>
      <c r="B599" s="12" t="s">
        <v>455</v>
      </c>
      <c r="C599" s="12" t="s">
        <v>96</v>
      </c>
      <c r="D599" s="12" t="s">
        <v>101</v>
      </c>
      <c r="E599" s="12" t="s">
        <v>103</v>
      </c>
      <c r="F599" s="26">
        <v>1289</v>
      </c>
      <c r="G599" s="26">
        <v>1289</v>
      </c>
      <c r="H599" s="26">
        <v>1289</v>
      </c>
    </row>
    <row r="600" spans="1:8" ht="94.5">
      <c r="A600" s="7" t="s">
        <v>457</v>
      </c>
      <c r="B600" s="8" t="s">
        <v>470</v>
      </c>
      <c r="C600" s="8"/>
      <c r="D600" s="8"/>
      <c r="E600" s="8"/>
      <c r="F600" s="24">
        <f>F601+F615</f>
        <v>5414.5</v>
      </c>
      <c r="G600" s="24">
        <f t="shared" ref="G600:H600" si="238">G601+G615</f>
        <v>5414.5</v>
      </c>
      <c r="H600" s="24">
        <f t="shared" si="238"/>
        <v>5414.5</v>
      </c>
    </row>
    <row r="601" spans="1:8" ht="47.25">
      <c r="A601" s="11" t="s">
        <v>458</v>
      </c>
      <c r="B601" s="12" t="s">
        <v>471</v>
      </c>
      <c r="C601" s="12"/>
      <c r="D601" s="12"/>
      <c r="E601" s="12"/>
      <c r="F601" s="26">
        <f>F602+F605+F608+F611+F613</f>
        <v>607</v>
      </c>
      <c r="G601" s="26">
        <f t="shared" ref="G601:H601" si="239">G602+G605+G608+G611+G613</f>
        <v>607</v>
      </c>
      <c r="H601" s="26">
        <f t="shared" si="239"/>
        <v>607</v>
      </c>
    </row>
    <row r="602" spans="1:8" ht="31.5">
      <c r="A602" s="11" t="s">
        <v>459</v>
      </c>
      <c r="B602" s="12" t="s">
        <v>472</v>
      </c>
      <c r="C602" s="12"/>
      <c r="D602" s="12"/>
      <c r="E602" s="12"/>
      <c r="F602" s="26">
        <f>F603+F604</f>
        <v>209.39999999999998</v>
      </c>
      <c r="G602" s="26">
        <f t="shared" ref="G602:H602" si="240">G603+G604</f>
        <v>209.39999999999998</v>
      </c>
      <c r="H602" s="26">
        <f t="shared" si="240"/>
        <v>209.39999999999998</v>
      </c>
    </row>
    <row r="603" spans="1:8" ht="47.25">
      <c r="A603" s="11" t="s">
        <v>16</v>
      </c>
      <c r="B603" s="12" t="s">
        <v>472</v>
      </c>
      <c r="C603" s="12" t="s">
        <v>94</v>
      </c>
      <c r="D603" s="12" t="s">
        <v>106</v>
      </c>
      <c r="E603" s="12" t="s">
        <v>100</v>
      </c>
      <c r="F603" s="26">
        <v>3.2</v>
      </c>
      <c r="G603" s="26">
        <v>3.2</v>
      </c>
      <c r="H603" s="26">
        <v>3.2</v>
      </c>
    </row>
    <row r="604" spans="1:8" ht="31.5">
      <c r="A604" s="11" t="s">
        <v>47</v>
      </c>
      <c r="B604" s="12" t="s">
        <v>472</v>
      </c>
      <c r="C604" s="12" t="s">
        <v>98</v>
      </c>
      <c r="D604" s="12" t="s">
        <v>106</v>
      </c>
      <c r="E604" s="12" t="s">
        <v>100</v>
      </c>
      <c r="F604" s="26">
        <v>206.2</v>
      </c>
      <c r="G604" s="26">
        <v>206.2</v>
      </c>
      <c r="H604" s="26">
        <v>206.2</v>
      </c>
    </row>
    <row r="605" spans="1:8" ht="31.5">
      <c r="A605" s="11" t="s">
        <v>460</v>
      </c>
      <c r="B605" s="12" t="s">
        <v>473</v>
      </c>
      <c r="C605" s="12"/>
      <c r="D605" s="12"/>
      <c r="E605" s="12"/>
      <c r="F605" s="26">
        <f>F606+F607</f>
        <v>157.6</v>
      </c>
      <c r="G605" s="26">
        <f t="shared" ref="G605:H605" si="241">G606+G607</f>
        <v>157.6</v>
      </c>
      <c r="H605" s="26">
        <f t="shared" si="241"/>
        <v>157.6</v>
      </c>
    </row>
    <row r="606" spans="1:8" ht="47.25">
      <c r="A606" s="11" t="s">
        <v>16</v>
      </c>
      <c r="B606" s="12" t="s">
        <v>473</v>
      </c>
      <c r="C606" s="12" t="s">
        <v>94</v>
      </c>
      <c r="D606" s="12" t="s">
        <v>106</v>
      </c>
      <c r="E606" s="12" t="s">
        <v>100</v>
      </c>
      <c r="F606" s="26">
        <v>1.6</v>
      </c>
      <c r="G606" s="26">
        <v>1.6</v>
      </c>
      <c r="H606" s="26">
        <v>1.6</v>
      </c>
    </row>
    <row r="607" spans="1:8" ht="31.5">
      <c r="A607" s="11" t="s">
        <v>47</v>
      </c>
      <c r="B607" s="12" t="s">
        <v>473</v>
      </c>
      <c r="C607" s="12" t="s">
        <v>98</v>
      </c>
      <c r="D607" s="12" t="s">
        <v>106</v>
      </c>
      <c r="E607" s="12" t="s">
        <v>100</v>
      </c>
      <c r="F607" s="26">
        <v>156</v>
      </c>
      <c r="G607" s="26">
        <v>156</v>
      </c>
      <c r="H607" s="26">
        <v>156</v>
      </c>
    </row>
    <row r="608" spans="1:8" ht="31.5">
      <c r="A608" s="11" t="s">
        <v>461</v>
      </c>
      <c r="B608" s="12" t="s">
        <v>474</v>
      </c>
      <c r="C608" s="12"/>
      <c r="D608" s="12"/>
      <c r="E608" s="12"/>
      <c r="F608" s="26">
        <f>F609+F610</f>
        <v>180</v>
      </c>
      <c r="G608" s="26">
        <f t="shared" ref="G608:H608" si="242">G609+G610</f>
        <v>180</v>
      </c>
      <c r="H608" s="26">
        <f t="shared" si="242"/>
        <v>180</v>
      </c>
    </row>
    <row r="609" spans="1:8" ht="47.25">
      <c r="A609" s="11" t="s">
        <v>16</v>
      </c>
      <c r="B609" s="12" t="s">
        <v>474</v>
      </c>
      <c r="C609" s="12" t="s">
        <v>94</v>
      </c>
      <c r="D609" s="12" t="s">
        <v>106</v>
      </c>
      <c r="E609" s="12" t="s">
        <v>100</v>
      </c>
      <c r="F609" s="26">
        <v>2</v>
      </c>
      <c r="G609" s="26">
        <v>2</v>
      </c>
      <c r="H609" s="26">
        <v>2</v>
      </c>
    </row>
    <row r="610" spans="1:8" ht="31.5">
      <c r="A610" s="11" t="s">
        <v>47</v>
      </c>
      <c r="B610" s="12" t="s">
        <v>474</v>
      </c>
      <c r="C610" s="12" t="s">
        <v>98</v>
      </c>
      <c r="D610" s="12" t="s">
        <v>106</v>
      </c>
      <c r="E610" s="12" t="s">
        <v>100</v>
      </c>
      <c r="F610" s="26">
        <v>178</v>
      </c>
      <c r="G610" s="26">
        <v>178</v>
      </c>
      <c r="H610" s="26">
        <v>178</v>
      </c>
    </row>
    <row r="611" spans="1:8" ht="31.5">
      <c r="A611" s="11" t="s">
        <v>462</v>
      </c>
      <c r="B611" s="12" t="s">
        <v>475</v>
      </c>
      <c r="C611" s="12"/>
      <c r="D611" s="12"/>
      <c r="E611" s="12"/>
      <c r="F611" s="26">
        <f>F612</f>
        <v>58</v>
      </c>
      <c r="G611" s="26">
        <f t="shared" ref="G611:H611" si="243">G612</f>
        <v>50</v>
      </c>
      <c r="H611" s="26">
        <f t="shared" si="243"/>
        <v>50</v>
      </c>
    </row>
    <row r="612" spans="1:8" ht="31.5">
      <c r="A612" s="11" t="s">
        <v>47</v>
      </c>
      <c r="B612" s="12" t="s">
        <v>475</v>
      </c>
      <c r="C612" s="12" t="s">
        <v>98</v>
      </c>
      <c r="D612" s="12" t="s">
        <v>106</v>
      </c>
      <c r="E612" s="12" t="s">
        <v>100</v>
      </c>
      <c r="F612" s="26">
        <f>50+8</f>
        <v>58</v>
      </c>
      <c r="G612" s="26">
        <v>50</v>
      </c>
      <c r="H612" s="26">
        <v>50</v>
      </c>
    </row>
    <row r="613" spans="1:8" ht="31.5">
      <c r="A613" s="11" t="s">
        <v>463</v>
      </c>
      <c r="B613" s="12" t="s">
        <v>476</v>
      </c>
      <c r="C613" s="12"/>
      <c r="D613" s="12"/>
      <c r="E613" s="12"/>
      <c r="F613" s="26">
        <f>F614</f>
        <v>2</v>
      </c>
      <c r="G613" s="26">
        <f t="shared" ref="G613:H613" si="244">G614</f>
        <v>10</v>
      </c>
      <c r="H613" s="26">
        <f t="shared" si="244"/>
        <v>10</v>
      </c>
    </row>
    <row r="614" spans="1:8" ht="31.5">
      <c r="A614" s="11" t="s">
        <v>47</v>
      </c>
      <c r="B614" s="12" t="s">
        <v>476</v>
      </c>
      <c r="C614" s="12" t="s">
        <v>98</v>
      </c>
      <c r="D614" s="12" t="s">
        <v>106</v>
      </c>
      <c r="E614" s="12" t="s">
        <v>100</v>
      </c>
      <c r="F614" s="26">
        <f>10-8</f>
        <v>2</v>
      </c>
      <c r="G614" s="26">
        <v>10</v>
      </c>
      <c r="H614" s="26">
        <v>10</v>
      </c>
    </row>
    <row r="615" spans="1:8" ht="47.25">
      <c r="A615" s="11" t="s">
        <v>13</v>
      </c>
      <c r="B615" s="12" t="s">
        <v>477</v>
      </c>
      <c r="C615" s="12"/>
      <c r="D615" s="12"/>
      <c r="E615" s="12"/>
      <c r="F615" s="26">
        <f>F616</f>
        <v>4807.5</v>
      </c>
      <c r="G615" s="26">
        <f t="shared" ref="G615:H615" si="245">G616</f>
        <v>4807.5</v>
      </c>
      <c r="H615" s="26">
        <f t="shared" si="245"/>
        <v>4807.5</v>
      </c>
    </row>
    <row r="616" spans="1:8" ht="47.25">
      <c r="A616" s="11" t="s">
        <v>412</v>
      </c>
      <c r="B616" s="12" t="s">
        <v>478</v>
      </c>
      <c r="C616" s="12"/>
      <c r="D616" s="12"/>
      <c r="E616" s="12"/>
      <c r="F616" s="26">
        <f>F617+F618</f>
        <v>4807.5</v>
      </c>
      <c r="G616" s="26">
        <f t="shared" ref="G616:H616" si="246">G617+G618</f>
        <v>4807.5</v>
      </c>
      <c r="H616" s="26">
        <f t="shared" si="246"/>
        <v>4807.5</v>
      </c>
    </row>
    <row r="617" spans="1:8" ht="98.25" customHeight="1">
      <c r="A617" s="11" t="s">
        <v>15</v>
      </c>
      <c r="B617" s="12" t="s">
        <v>478</v>
      </c>
      <c r="C617" s="12" t="s">
        <v>93</v>
      </c>
      <c r="D617" s="12" t="s">
        <v>104</v>
      </c>
      <c r="E617" s="12" t="s">
        <v>186</v>
      </c>
      <c r="F617" s="26">
        <v>3277.1</v>
      </c>
      <c r="G617" s="26">
        <v>3277.1</v>
      </c>
      <c r="H617" s="26">
        <v>3277.1</v>
      </c>
    </row>
    <row r="618" spans="1:8" ht="47.25">
      <c r="A618" s="11" t="s">
        <v>16</v>
      </c>
      <c r="B618" s="12" t="s">
        <v>478</v>
      </c>
      <c r="C618" s="12" t="s">
        <v>94</v>
      </c>
      <c r="D618" s="12" t="s">
        <v>104</v>
      </c>
      <c r="E618" s="12" t="s">
        <v>186</v>
      </c>
      <c r="F618" s="26">
        <v>1530.4</v>
      </c>
      <c r="G618" s="26">
        <v>1530.4</v>
      </c>
      <c r="H618" s="26">
        <v>1530.4</v>
      </c>
    </row>
    <row r="619" spans="1:8" ht="47.25">
      <c r="A619" s="7" t="s">
        <v>464</v>
      </c>
      <c r="B619" s="8" t="s">
        <v>479</v>
      </c>
      <c r="C619" s="8" t="s">
        <v>277</v>
      </c>
      <c r="D619" s="8" t="s">
        <v>283</v>
      </c>
      <c r="E619" s="8" t="s">
        <v>283</v>
      </c>
      <c r="F619" s="24">
        <f>F620+F623</f>
        <v>5052</v>
      </c>
      <c r="G619" s="24">
        <f t="shared" ref="G619:H619" si="247">G620+G623</f>
        <v>5052</v>
      </c>
      <c r="H619" s="24">
        <f t="shared" si="247"/>
        <v>5052</v>
      </c>
    </row>
    <row r="620" spans="1:8" ht="47.25">
      <c r="A620" s="11" t="s">
        <v>465</v>
      </c>
      <c r="B620" s="12" t="s">
        <v>480</v>
      </c>
      <c r="C620" s="12"/>
      <c r="D620" s="12"/>
      <c r="E620" s="12"/>
      <c r="F620" s="26">
        <f>F621</f>
        <v>30</v>
      </c>
      <c r="G620" s="26">
        <f t="shared" ref="G620:H620" si="248">G621</f>
        <v>30</v>
      </c>
      <c r="H620" s="26">
        <f t="shared" si="248"/>
        <v>30</v>
      </c>
    </row>
    <row r="621" spans="1:8" ht="47.25">
      <c r="A621" s="11" t="s">
        <v>466</v>
      </c>
      <c r="B621" s="12" t="s">
        <v>481</v>
      </c>
      <c r="C621" s="12"/>
      <c r="D621" s="12"/>
      <c r="E621" s="12"/>
      <c r="F621" s="26">
        <f>F622</f>
        <v>30</v>
      </c>
      <c r="G621" s="26">
        <f t="shared" ref="G621:H621" si="249">G622</f>
        <v>30</v>
      </c>
      <c r="H621" s="26">
        <f t="shared" si="249"/>
        <v>30</v>
      </c>
    </row>
    <row r="622" spans="1:8" ht="47.25">
      <c r="A622" s="11" t="s">
        <v>16</v>
      </c>
      <c r="B622" s="12" t="s">
        <v>481</v>
      </c>
      <c r="C622" s="12" t="s">
        <v>94</v>
      </c>
      <c r="D622" s="12" t="s">
        <v>104</v>
      </c>
      <c r="E622" s="12" t="s">
        <v>101</v>
      </c>
      <c r="F622" s="26">
        <v>30</v>
      </c>
      <c r="G622" s="26">
        <v>30</v>
      </c>
      <c r="H622" s="26">
        <v>30</v>
      </c>
    </row>
    <row r="623" spans="1:8" ht="31.5">
      <c r="A623" s="11" t="s">
        <v>467</v>
      </c>
      <c r="B623" s="12" t="s">
        <v>482</v>
      </c>
      <c r="C623" s="12"/>
      <c r="D623" s="12"/>
      <c r="E623" s="12"/>
      <c r="F623" s="26">
        <f>F624+F626</f>
        <v>5022</v>
      </c>
      <c r="G623" s="26">
        <f t="shared" ref="G623:H623" si="250">G624+G626</f>
        <v>5022</v>
      </c>
      <c r="H623" s="26">
        <f t="shared" si="250"/>
        <v>5022</v>
      </c>
    </row>
    <row r="624" spans="1:8" ht="47.25">
      <c r="A624" s="11" t="s">
        <v>468</v>
      </c>
      <c r="B624" s="12" t="s">
        <v>483</v>
      </c>
      <c r="C624" s="12"/>
      <c r="D624" s="12"/>
      <c r="E624" s="12"/>
      <c r="F624" s="26">
        <f>F625</f>
        <v>22</v>
      </c>
      <c r="G624" s="26">
        <f t="shared" ref="G624:H624" si="251">G625</f>
        <v>22</v>
      </c>
      <c r="H624" s="26">
        <f t="shared" si="251"/>
        <v>22</v>
      </c>
    </row>
    <row r="625" spans="1:8" ht="31.5">
      <c r="A625" s="11" t="s">
        <v>47</v>
      </c>
      <c r="B625" s="12" t="s">
        <v>483</v>
      </c>
      <c r="C625" s="12" t="s">
        <v>98</v>
      </c>
      <c r="D625" s="12" t="s">
        <v>104</v>
      </c>
      <c r="E625" s="12" t="s">
        <v>101</v>
      </c>
      <c r="F625" s="26">
        <v>22</v>
      </c>
      <c r="G625" s="26">
        <v>22</v>
      </c>
      <c r="H625" s="26">
        <v>22</v>
      </c>
    </row>
    <row r="626" spans="1:8" ht="47.25">
      <c r="A626" s="11" t="s">
        <v>469</v>
      </c>
      <c r="B626" s="12" t="s">
        <v>484</v>
      </c>
      <c r="C626" s="12"/>
      <c r="D626" s="12"/>
      <c r="E626" s="12"/>
      <c r="F626" s="26">
        <f>F627+F628</f>
        <v>5000</v>
      </c>
      <c r="G626" s="26">
        <f t="shared" ref="G626:H626" si="252">G627+G628</f>
        <v>5000</v>
      </c>
      <c r="H626" s="26">
        <f t="shared" si="252"/>
        <v>5000</v>
      </c>
    </row>
    <row r="627" spans="1:8" ht="47.25">
      <c r="A627" s="11" t="s">
        <v>16</v>
      </c>
      <c r="B627" s="12" t="s">
        <v>484</v>
      </c>
      <c r="C627" s="12" t="s">
        <v>94</v>
      </c>
      <c r="D627" s="12" t="s">
        <v>106</v>
      </c>
      <c r="E627" s="12" t="s">
        <v>104</v>
      </c>
      <c r="F627" s="26">
        <v>50</v>
      </c>
      <c r="G627" s="26">
        <v>50</v>
      </c>
      <c r="H627" s="26">
        <v>50</v>
      </c>
    </row>
    <row r="628" spans="1:8" ht="31.5">
      <c r="A628" s="11" t="s">
        <v>47</v>
      </c>
      <c r="B628" s="12" t="s">
        <v>484</v>
      </c>
      <c r="C628" s="12" t="s">
        <v>98</v>
      </c>
      <c r="D628" s="12" t="s">
        <v>106</v>
      </c>
      <c r="E628" s="12" t="s">
        <v>104</v>
      </c>
      <c r="F628" s="26">
        <v>4950</v>
      </c>
      <c r="G628" s="26">
        <v>4950</v>
      </c>
      <c r="H628" s="26">
        <v>4950</v>
      </c>
    </row>
    <row r="629" spans="1:8" ht="94.5">
      <c r="A629" s="7" t="s">
        <v>485</v>
      </c>
      <c r="B629" s="8" t="s">
        <v>504</v>
      </c>
      <c r="C629" s="8"/>
      <c r="D629" s="8"/>
      <c r="E629" s="8"/>
      <c r="F629" s="24">
        <f>F630+F643</f>
        <v>13919.64</v>
      </c>
      <c r="G629" s="24">
        <f t="shared" ref="G629:H629" si="253">G630+G643</f>
        <v>14009.9</v>
      </c>
      <c r="H629" s="24">
        <f t="shared" si="253"/>
        <v>14128.900000000001</v>
      </c>
    </row>
    <row r="630" spans="1:8" ht="110.25">
      <c r="A630" s="9" t="s">
        <v>486</v>
      </c>
      <c r="B630" s="10" t="s">
        <v>505</v>
      </c>
      <c r="C630" s="10"/>
      <c r="D630" s="10"/>
      <c r="E630" s="10"/>
      <c r="F630" s="25">
        <f>F631+F636+F640</f>
        <v>13061.439999999999</v>
      </c>
      <c r="G630" s="25">
        <f t="shared" ref="G630:H630" si="254">G631+G636+G640</f>
        <v>13151.699999999999</v>
      </c>
      <c r="H630" s="25">
        <f t="shared" si="254"/>
        <v>13270.7</v>
      </c>
    </row>
    <row r="631" spans="1:8" ht="94.5">
      <c r="A631" s="11" t="s">
        <v>487</v>
      </c>
      <c r="B631" s="12" t="s">
        <v>506</v>
      </c>
      <c r="C631" s="12"/>
      <c r="D631" s="12"/>
      <c r="E631" s="12"/>
      <c r="F631" s="26">
        <f>F632</f>
        <v>12567.9</v>
      </c>
      <c r="G631" s="26">
        <f t="shared" ref="G631:H631" si="255">G632</f>
        <v>12776.9</v>
      </c>
      <c r="H631" s="26">
        <f t="shared" si="255"/>
        <v>12895.900000000001</v>
      </c>
    </row>
    <row r="632" spans="1:8" ht="78.75" customHeight="1">
      <c r="A632" s="11" t="s">
        <v>488</v>
      </c>
      <c r="B632" s="12" t="s">
        <v>573</v>
      </c>
      <c r="C632" s="12"/>
      <c r="D632" s="12"/>
      <c r="E632" s="12"/>
      <c r="F632" s="26">
        <f>F633+F634+F635</f>
        <v>12567.9</v>
      </c>
      <c r="G632" s="26">
        <f t="shared" ref="G632:H632" si="256">G633+G634+G635</f>
        <v>12776.9</v>
      </c>
      <c r="H632" s="26">
        <f t="shared" si="256"/>
        <v>12895.900000000001</v>
      </c>
    </row>
    <row r="633" spans="1:8" ht="93" customHeight="1">
      <c r="A633" s="11" t="s">
        <v>15</v>
      </c>
      <c r="B633" s="12" t="s">
        <v>573</v>
      </c>
      <c r="C633" s="12" t="s">
        <v>93</v>
      </c>
      <c r="D633" s="12" t="s">
        <v>100</v>
      </c>
      <c r="E633" s="12" t="s">
        <v>105</v>
      </c>
      <c r="F633" s="26">
        <v>10215.9</v>
      </c>
      <c r="G633" s="26">
        <v>10320.299999999999</v>
      </c>
      <c r="H633" s="26">
        <v>10427.6</v>
      </c>
    </row>
    <row r="634" spans="1:8" ht="47.25">
      <c r="A634" s="11" t="s">
        <v>16</v>
      </c>
      <c r="B634" s="12" t="s">
        <v>573</v>
      </c>
      <c r="C634" s="12" t="s">
        <v>94</v>
      </c>
      <c r="D634" s="12" t="s">
        <v>100</v>
      </c>
      <c r="E634" s="12" t="s">
        <v>105</v>
      </c>
      <c r="F634" s="26">
        <f>2407-93</f>
        <v>2314</v>
      </c>
      <c r="G634" s="26">
        <v>2418.6</v>
      </c>
      <c r="H634" s="26">
        <v>2430.3000000000002</v>
      </c>
    </row>
    <row r="635" spans="1:8">
      <c r="A635" s="11" t="s">
        <v>18</v>
      </c>
      <c r="B635" s="12" t="s">
        <v>573</v>
      </c>
      <c r="C635" s="12" t="s">
        <v>95</v>
      </c>
      <c r="D635" s="12" t="s">
        <v>100</v>
      </c>
      <c r="E635" s="12" t="s">
        <v>105</v>
      </c>
      <c r="F635" s="26">
        <v>38</v>
      </c>
      <c r="G635" s="26">
        <v>38</v>
      </c>
      <c r="H635" s="26">
        <v>38</v>
      </c>
    </row>
    <row r="636" spans="1:8" ht="63">
      <c r="A636" s="11" t="s">
        <v>489</v>
      </c>
      <c r="B636" s="12" t="s">
        <v>507</v>
      </c>
      <c r="C636" s="12"/>
      <c r="D636" s="12"/>
      <c r="E636" s="12"/>
      <c r="F636" s="26">
        <f>F637</f>
        <v>370.74</v>
      </c>
      <c r="G636" s="26">
        <f t="shared" ref="G636:H636" si="257">G637</f>
        <v>295</v>
      </c>
      <c r="H636" s="26">
        <f t="shared" si="257"/>
        <v>295</v>
      </c>
    </row>
    <row r="637" spans="1:8" ht="47.25">
      <c r="A637" s="11" t="s">
        <v>490</v>
      </c>
      <c r="B637" s="12" t="s">
        <v>508</v>
      </c>
      <c r="C637" s="12"/>
      <c r="D637" s="12"/>
      <c r="E637" s="12"/>
      <c r="F637" s="26">
        <f>F638+F639</f>
        <v>370.74</v>
      </c>
      <c r="G637" s="26">
        <f t="shared" ref="G637:H637" si="258">G638+G639</f>
        <v>295</v>
      </c>
      <c r="H637" s="26">
        <f t="shared" si="258"/>
        <v>295</v>
      </c>
    </row>
    <row r="638" spans="1:8" ht="47.25">
      <c r="A638" s="11" t="s">
        <v>16</v>
      </c>
      <c r="B638" s="12" t="s">
        <v>508</v>
      </c>
      <c r="C638" s="12" t="s">
        <v>94</v>
      </c>
      <c r="D638" s="12" t="s">
        <v>100</v>
      </c>
      <c r="E638" s="12" t="s">
        <v>105</v>
      </c>
      <c r="F638" s="26">
        <f>225+145.74</f>
        <v>370.74</v>
      </c>
      <c r="G638" s="26">
        <f>225+70</f>
        <v>295</v>
      </c>
      <c r="H638" s="26">
        <f>225+70</f>
        <v>295</v>
      </c>
    </row>
    <row r="639" spans="1:8" ht="47.25" hidden="1">
      <c r="A639" s="11" t="s">
        <v>16</v>
      </c>
      <c r="B639" s="12" t="s">
        <v>508</v>
      </c>
      <c r="C639" s="12" t="s">
        <v>94</v>
      </c>
      <c r="D639" s="12" t="s">
        <v>99</v>
      </c>
      <c r="E639" s="12" t="s">
        <v>100</v>
      </c>
      <c r="F639" s="26">
        <f>70-70</f>
        <v>0</v>
      </c>
      <c r="G639" s="26">
        <f>70-70</f>
        <v>0</v>
      </c>
      <c r="H639" s="26">
        <f>70-70</f>
        <v>0</v>
      </c>
    </row>
    <row r="640" spans="1:8" ht="47.25">
      <c r="A640" s="11" t="s">
        <v>491</v>
      </c>
      <c r="B640" s="12" t="s">
        <v>509</v>
      </c>
      <c r="C640" s="12"/>
      <c r="D640" s="12"/>
      <c r="E640" s="12"/>
      <c r="F640" s="26">
        <f>F641</f>
        <v>122.8</v>
      </c>
      <c r="G640" s="26">
        <f t="shared" ref="G640:H641" si="259">G641</f>
        <v>79.8</v>
      </c>
      <c r="H640" s="26">
        <f t="shared" si="259"/>
        <v>79.8</v>
      </c>
    </row>
    <row r="641" spans="1:8" ht="110.25">
      <c r="A641" s="11" t="s">
        <v>492</v>
      </c>
      <c r="B641" s="12" t="s">
        <v>510</v>
      </c>
      <c r="C641" s="12"/>
      <c r="D641" s="12"/>
      <c r="E641" s="12"/>
      <c r="F641" s="26">
        <f>F642</f>
        <v>122.8</v>
      </c>
      <c r="G641" s="26">
        <f t="shared" si="259"/>
        <v>79.8</v>
      </c>
      <c r="H641" s="26">
        <f t="shared" si="259"/>
        <v>79.8</v>
      </c>
    </row>
    <row r="642" spans="1:8" ht="47.25">
      <c r="A642" s="11" t="s">
        <v>16</v>
      </c>
      <c r="B642" s="12" t="s">
        <v>510</v>
      </c>
      <c r="C642" s="12" t="s">
        <v>94</v>
      </c>
      <c r="D642" s="12" t="s">
        <v>100</v>
      </c>
      <c r="E642" s="12" t="s">
        <v>105</v>
      </c>
      <c r="F642" s="26">
        <f>79.8+43</f>
        <v>122.8</v>
      </c>
      <c r="G642" s="26">
        <v>79.8</v>
      </c>
      <c r="H642" s="26">
        <v>79.8</v>
      </c>
    </row>
    <row r="643" spans="1:8" ht="78.75">
      <c r="A643" s="9" t="s">
        <v>493</v>
      </c>
      <c r="B643" s="10" t="s">
        <v>511</v>
      </c>
      <c r="C643" s="10"/>
      <c r="D643" s="10"/>
      <c r="E643" s="10"/>
      <c r="F643" s="25">
        <f>F644+F647</f>
        <v>858.2</v>
      </c>
      <c r="G643" s="25">
        <f t="shared" ref="G643:H643" si="260">G644+G647</f>
        <v>858.2</v>
      </c>
      <c r="H643" s="25">
        <f t="shared" si="260"/>
        <v>858.2</v>
      </c>
    </row>
    <row r="644" spans="1:8" ht="63">
      <c r="A644" s="11" t="s">
        <v>494</v>
      </c>
      <c r="B644" s="12" t="s">
        <v>512</v>
      </c>
      <c r="C644" s="12"/>
      <c r="D644" s="12"/>
      <c r="E644" s="12"/>
      <c r="F644" s="26">
        <f>F645</f>
        <v>60</v>
      </c>
      <c r="G644" s="26">
        <f t="shared" ref="G644:H645" si="261">G645</f>
        <v>60</v>
      </c>
      <c r="H644" s="26">
        <f t="shared" si="261"/>
        <v>60</v>
      </c>
    </row>
    <row r="645" spans="1:8" ht="31.5">
      <c r="A645" s="11" t="s">
        <v>495</v>
      </c>
      <c r="B645" s="12" t="s">
        <v>513</v>
      </c>
      <c r="C645" s="12"/>
      <c r="D645" s="12"/>
      <c r="E645" s="12"/>
      <c r="F645" s="26">
        <f>F646</f>
        <v>60</v>
      </c>
      <c r="G645" s="26">
        <f t="shared" si="261"/>
        <v>60</v>
      </c>
      <c r="H645" s="26">
        <f t="shared" si="261"/>
        <v>60</v>
      </c>
    </row>
    <row r="646" spans="1:8" ht="47.25">
      <c r="A646" s="11" t="s">
        <v>16</v>
      </c>
      <c r="B646" s="12" t="s">
        <v>513</v>
      </c>
      <c r="C646" s="12" t="s">
        <v>94</v>
      </c>
      <c r="D646" s="12" t="s">
        <v>100</v>
      </c>
      <c r="E646" s="12" t="s">
        <v>105</v>
      </c>
      <c r="F646" s="26">
        <v>60</v>
      </c>
      <c r="G646" s="26">
        <v>60</v>
      </c>
      <c r="H646" s="26">
        <v>60</v>
      </c>
    </row>
    <row r="647" spans="1:8" ht="47.25">
      <c r="A647" s="11" t="s">
        <v>496</v>
      </c>
      <c r="B647" s="12" t="s">
        <v>514</v>
      </c>
      <c r="C647" s="12"/>
      <c r="D647" s="12"/>
      <c r="E647" s="12"/>
      <c r="F647" s="26">
        <f>F648</f>
        <v>798.2</v>
      </c>
      <c r="G647" s="26">
        <f t="shared" ref="G647:H648" si="262">G648</f>
        <v>798.2</v>
      </c>
      <c r="H647" s="26">
        <f t="shared" si="262"/>
        <v>798.2</v>
      </c>
    </row>
    <row r="648" spans="1:8" ht="31.5">
      <c r="A648" s="11" t="s">
        <v>497</v>
      </c>
      <c r="B648" s="12" t="s">
        <v>515</v>
      </c>
      <c r="C648" s="12"/>
      <c r="D648" s="12"/>
      <c r="E648" s="12"/>
      <c r="F648" s="26">
        <f>F649</f>
        <v>798.2</v>
      </c>
      <c r="G648" s="26">
        <f t="shared" si="262"/>
        <v>798.2</v>
      </c>
      <c r="H648" s="26">
        <f t="shared" si="262"/>
        <v>798.2</v>
      </c>
    </row>
    <row r="649" spans="1:8" ht="47.25">
      <c r="A649" s="11" t="s">
        <v>16</v>
      </c>
      <c r="B649" s="12" t="s">
        <v>515</v>
      </c>
      <c r="C649" s="12" t="s">
        <v>94</v>
      </c>
      <c r="D649" s="12" t="s">
        <v>100</v>
      </c>
      <c r="E649" s="12" t="s">
        <v>105</v>
      </c>
      <c r="F649" s="26">
        <v>798.2</v>
      </c>
      <c r="G649" s="26">
        <v>798.2</v>
      </c>
      <c r="H649" s="26">
        <v>798.2</v>
      </c>
    </row>
    <row r="650" spans="1:8" ht="47.25">
      <c r="A650" s="20" t="s">
        <v>648</v>
      </c>
      <c r="B650" s="21" t="s">
        <v>579</v>
      </c>
      <c r="C650" s="8"/>
      <c r="D650" s="8"/>
      <c r="E650" s="8"/>
      <c r="F650" s="24">
        <f>F651</f>
        <v>55053.825850000001</v>
      </c>
      <c r="G650" s="24">
        <f t="shared" ref="G650:H655" si="263">G651</f>
        <v>0</v>
      </c>
      <c r="H650" s="24">
        <f t="shared" si="263"/>
        <v>0</v>
      </c>
    </row>
    <row r="651" spans="1:8" ht="63">
      <c r="A651" s="16" t="s">
        <v>649</v>
      </c>
      <c r="B651" s="19" t="s">
        <v>580</v>
      </c>
      <c r="C651" s="12"/>
      <c r="D651" s="12"/>
      <c r="E651" s="12"/>
      <c r="F651" s="26">
        <f>F655+F652</f>
        <v>55053.825850000001</v>
      </c>
      <c r="G651" s="26">
        <f>G655+G652</f>
        <v>0</v>
      </c>
      <c r="H651" s="26">
        <f>H655+H652</f>
        <v>0</v>
      </c>
    </row>
    <row r="652" spans="1:8" ht="47.25">
      <c r="A652" s="16" t="s">
        <v>583</v>
      </c>
      <c r="B652" s="19" t="s">
        <v>584</v>
      </c>
      <c r="C652" s="12"/>
      <c r="D652" s="12"/>
      <c r="E652" s="12"/>
      <c r="F652" s="26">
        <f>F653</f>
        <v>608.51321999999993</v>
      </c>
      <c r="G652" s="26">
        <f t="shared" ref="G652:H653" si="264">G653</f>
        <v>0</v>
      </c>
      <c r="H652" s="26">
        <f t="shared" si="264"/>
        <v>0</v>
      </c>
    </row>
    <row r="653" spans="1:8" ht="78.75">
      <c r="A653" s="16" t="s">
        <v>586</v>
      </c>
      <c r="B653" s="19" t="s">
        <v>585</v>
      </c>
      <c r="C653" s="12"/>
      <c r="D653" s="12"/>
      <c r="E653" s="12"/>
      <c r="F653" s="26">
        <f>F654</f>
        <v>608.51321999999993</v>
      </c>
      <c r="G653" s="26">
        <f t="shared" si="264"/>
        <v>0</v>
      </c>
      <c r="H653" s="26">
        <f t="shared" si="264"/>
        <v>0</v>
      </c>
    </row>
    <row r="654" spans="1:8" ht="47.25">
      <c r="A654" s="16" t="s">
        <v>577</v>
      </c>
      <c r="B654" s="19" t="s">
        <v>585</v>
      </c>
      <c r="C654" s="12" t="s">
        <v>94</v>
      </c>
      <c r="D654" s="12" t="s">
        <v>101</v>
      </c>
      <c r="E654" s="12" t="s">
        <v>105</v>
      </c>
      <c r="F654" s="26">
        <f>916.4685-307.95528</f>
        <v>608.51321999999993</v>
      </c>
      <c r="G654" s="26">
        <v>0</v>
      </c>
      <c r="H654" s="26">
        <v>0</v>
      </c>
    </row>
    <row r="655" spans="1:8" ht="78.75">
      <c r="A655" s="16" t="s">
        <v>575</v>
      </c>
      <c r="B655" s="19" t="s">
        <v>581</v>
      </c>
      <c r="C655" s="12"/>
      <c r="D655" s="12"/>
      <c r="E655" s="12"/>
      <c r="F655" s="26">
        <f>F656</f>
        <v>54445.31263</v>
      </c>
      <c r="G655" s="26">
        <f t="shared" si="263"/>
        <v>0</v>
      </c>
      <c r="H655" s="26">
        <f t="shared" si="263"/>
        <v>0</v>
      </c>
    </row>
    <row r="656" spans="1:8" ht="47.25">
      <c r="A656" s="16" t="s">
        <v>576</v>
      </c>
      <c r="B656" s="19" t="s">
        <v>582</v>
      </c>
      <c r="C656" s="12"/>
      <c r="D656" s="12"/>
      <c r="E656" s="12"/>
      <c r="F656" s="26">
        <f>F657+F658</f>
        <v>54445.31263</v>
      </c>
      <c r="G656" s="26">
        <f t="shared" ref="G656:H656" si="265">G657+G658</f>
        <v>0</v>
      </c>
      <c r="H656" s="26">
        <f t="shared" si="265"/>
        <v>0</v>
      </c>
    </row>
    <row r="657" spans="1:8" ht="47.25">
      <c r="A657" s="16" t="s">
        <v>577</v>
      </c>
      <c r="B657" s="19" t="s">
        <v>582</v>
      </c>
      <c r="C657" s="12" t="s">
        <v>94</v>
      </c>
      <c r="D657" s="12" t="s">
        <v>101</v>
      </c>
      <c r="E657" s="12" t="s">
        <v>105</v>
      </c>
      <c r="F657" s="26">
        <f>15671.61136+1741.29015-5851.15031</f>
        <v>11561.751199999999</v>
      </c>
      <c r="G657" s="26">
        <v>0</v>
      </c>
      <c r="H657" s="26">
        <v>0</v>
      </c>
    </row>
    <row r="658" spans="1:8" ht="63">
      <c r="A658" s="16" t="s">
        <v>578</v>
      </c>
      <c r="B658" s="19" t="s">
        <v>582</v>
      </c>
      <c r="C658" s="12" t="s">
        <v>96</v>
      </c>
      <c r="D658" s="12" t="s">
        <v>99</v>
      </c>
      <c r="E658" s="12" t="s">
        <v>100</v>
      </c>
      <c r="F658" s="26">
        <f>33329.17001+3703.24111+5851.15031</f>
        <v>42883.561430000002</v>
      </c>
      <c r="G658" s="26">
        <v>0</v>
      </c>
      <c r="H658" s="26">
        <v>0</v>
      </c>
    </row>
    <row r="659" spans="1:8" ht="94.5">
      <c r="A659" s="7" t="s">
        <v>498</v>
      </c>
      <c r="B659" s="8" t="s">
        <v>516</v>
      </c>
      <c r="C659" s="8"/>
      <c r="D659" s="8"/>
      <c r="E659" s="8"/>
      <c r="F659" s="24">
        <f>F660</f>
        <v>5287.616</v>
      </c>
      <c r="G659" s="24">
        <f t="shared" ref="G659:H659" si="266">G660</f>
        <v>175</v>
      </c>
      <c r="H659" s="24">
        <f t="shared" si="266"/>
        <v>175</v>
      </c>
    </row>
    <row r="660" spans="1:8" ht="94.5">
      <c r="A660" s="11" t="s">
        <v>499</v>
      </c>
      <c r="B660" s="12" t="s">
        <v>517</v>
      </c>
      <c r="C660" s="12"/>
      <c r="D660" s="12"/>
      <c r="E660" s="12"/>
      <c r="F660" s="26">
        <f>F661+F663+F665+F669+F671+F673+F667+F675</f>
        <v>5287.616</v>
      </c>
      <c r="G660" s="26">
        <f t="shared" ref="G660:H660" si="267">G661+G663+G665+G669+G671+G673</f>
        <v>175</v>
      </c>
      <c r="H660" s="26">
        <f t="shared" si="267"/>
        <v>175</v>
      </c>
    </row>
    <row r="661" spans="1:8" ht="63.75" customHeight="1">
      <c r="A661" s="11" t="s">
        <v>500</v>
      </c>
      <c r="B661" s="12" t="s">
        <v>518</v>
      </c>
      <c r="C661" s="12"/>
      <c r="D661" s="12"/>
      <c r="E661" s="12"/>
      <c r="F661" s="26">
        <f>F662</f>
        <v>125</v>
      </c>
      <c r="G661" s="26">
        <f t="shared" ref="G661:H661" si="268">G662</f>
        <v>125</v>
      </c>
      <c r="H661" s="26">
        <f t="shared" si="268"/>
        <v>125</v>
      </c>
    </row>
    <row r="662" spans="1:8" ht="48" customHeight="1">
      <c r="A662" s="11" t="s">
        <v>22</v>
      </c>
      <c r="B662" s="12" t="s">
        <v>518</v>
      </c>
      <c r="C662" s="12" t="s">
        <v>96</v>
      </c>
      <c r="D662" s="12" t="s">
        <v>100</v>
      </c>
      <c r="E662" s="12" t="s">
        <v>456</v>
      </c>
      <c r="F662" s="26">
        <v>125</v>
      </c>
      <c r="G662" s="26">
        <v>125</v>
      </c>
      <c r="H662" s="26">
        <v>125</v>
      </c>
    </row>
    <row r="663" spans="1:8" ht="31.5">
      <c r="A663" s="11" t="s">
        <v>501</v>
      </c>
      <c r="B663" s="12" t="s">
        <v>519</v>
      </c>
      <c r="C663" s="12"/>
      <c r="D663" s="12"/>
      <c r="E663" s="12"/>
      <c r="F663" s="26">
        <f>F664</f>
        <v>400</v>
      </c>
      <c r="G663" s="26">
        <f t="shared" ref="G663:H663" si="269">G664</f>
        <v>0</v>
      </c>
      <c r="H663" s="26">
        <f t="shared" si="269"/>
        <v>0</v>
      </c>
    </row>
    <row r="664" spans="1:8" ht="49.5" customHeight="1">
      <c r="A664" s="11" t="s">
        <v>22</v>
      </c>
      <c r="B664" s="12" t="s">
        <v>519</v>
      </c>
      <c r="C664" s="12" t="s">
        <v>96</v>
      </c>
      <c r="D664" s="12" t="s">
        <v>100</v>
      </c>
      <c r="E664" s="12" t="s">
        <v>456</v>
      </c>
      <c r="F664" s="26">
        <v>400</v>
      </c>
      <c r="G664" s="26">
        <v>0</v>
      </c>
      <c r="H664" s="26">
        <v>0</v>
      </c>
    </row>
    <row r="665" spans="1:8" ht="94.5">
      <c r="A665" s="11" t="s">
        <v>502</v>
      </c>
      <c r="B665" s="12" t="s">
        <v>520</v>
      </c>
      <c r="C665" s="12"/>
      <c r="D665" s="12"/>
      <c r="E665" s="12"/>
      <c r="F665" s="26">
        <f>F666</f>
        <v>500</v>
      </c>
      <c r="G665" s="26">
        <f t="shared" ref="G665:H665" si="270">G666</f>
        <v>0</v>
      </c>
      <c r="H665" s="26">
        <f t="shared" si="270"/>
        <v>0</v>
      </c>
    </row>
    <row r="666" spans="1:8" ht="46.5" customHeight="1">
      <c r="A666" s="11" t="s">
        <v>22</v>
      </c>
      <c r="B666" s="12" t="s">
        <v>520</v>
      </c>
      <c r="C666" s="12" t="s">
        <v>96</v>
      </c>
      <c r="D666" s="12" t="s">
        <v>100</v>
      </c>
      <c r="E666" s="12" t="s">
        <v>456</v>
      </c>
      <c r="F666" s="26">
        <v>500</v>
      </c>
      <c r="G666" s="26">
        <v>0</v>
      </c>
      <c r="H666" s="26">
        <v>0</v>
      </c>
    </row>
    <row r="667" spans="1:8" ht="101.25" customHeight="1">
      <c r="A667" s="11" t="s">
        <v>544</v>
      </c>
      <c r="B667" s="12" t="s">
        <v>543</v>
      </c>
      <c r="C667" s="12"/>
      <c r="D667" s="12"/>
      <c r="E667" s="12"/>
      <c r="F667" s="26">
        <f>F668</f>
        <v>3787</v>
      </c>
      <c r="G667" s="26">
        <f t="shared" ref="G667:H667" si="271">G668</f>
        <v>0</v>
      </c>
      <c r="H667" s="26">
        <f t="shared" si="271"/>
        <v>0</v>
      </c>
    </row>
    <row r="668" spans="1:8" ht="46.5" customHeight="1">
      <c r="A668" s="11" t="s">
        <v>22</v>
      </c>
      <c r="B668" s="12" t="s">
        <v>543</v>
      </c>
      <c r="C668" s="12" t="s">
        <v>96</v>
      </c>
      <c r="D668" s="12" t="s">
        <v>152</v>
      </c>
      <c r="E668" s="12" t="s">
        <v>102</v>
      </c>
      <c r="F668" s="26">
        <v>3787</v>
      </c>
      <c r="G668" s="26">
        <v>0</v>
      </c>
      <c r="H668" s="26">
        <v>0</v>
      </c>
    </row>
    <row r="669" spans="1:8" ht="63">
      <c r="A669" s="11" t="s">
        <v>503</v>
      </c>
      <c r="B669" s="12" t="s">
        <v>521</v>
      </c>
      <c r="C669" s="12"/>
      <c r="D669" s="12"/>
      <c r="E669" s="12"/>
      <c r="F669" s="26">
        <f>F670</f>
        <v>50</v>
      </c>
      <c r="G669" s="26">
        <f t="shared" ref="G669:H669" si="272">G670</f>
        <v>50</v>
      </c>
      <c r="H669" s="26">
        <f t="shared" si="272"/>
        <v>50</v>
      </c>
    </row>
    <row r="670" spans="1:8" ht="50.25" customHeight="1">
      <c r="A670" s="11" t="s">
        <v>22</v>
      </c>
      <c r="B670" s="12" t="s">
        <v>521</v>
      </c>
      <c r="C670" s="12" t="s">
        <v>96</v>
      </c>
      <c r="D670" s="12" t="s">
        <v>100</v>
      </c>
      <c r="E670" s="12" t="s">
        <v>456</v>
      </c>
      <c r="F670" s="26">
        <v>50</v>
      </c>
      <c r="G670" s="26">
        <v>50</v>
      </c>
      <c r="H670" s="26">
        <v>50</v>
      </c>
    </row>
    <row r="671" spans="1:8" ht="31.5">
      <c r="A671" s="11" t="s">
        <v>501</v>
      </c>
      <c r="B671" s="12" t="s">
        <v>522</v>
      </c>
      <c r="C671" s="12"/>
      <c r="D671" s="12"/>
      <c r="E671" s="12"/>
      <c r="F671" s="26">
        <f>F672</f>
        <v>200</v>
      </c>
      <c r="G671" s="26">
        <f t="shared" ref="G671:H671" si="273">G672</f>
        <v>0</v>
      </c>
      <c r="H671" s="26">
        <f t="shared" si="273"/>
        <v>0</v>
      </c>
    </row>
    <row r="672" spans="1:8" ht="48" customHeight="1">
      <c r="A672" s="11" t="s">
        <v>22</v>
      </c>
      <c r="B672" s="12" t="s">
        <v>522</v>
      </c>
      <c r="C672" s="12" t="s">
        <v>96</v>
      </c>
      <c r="D672" s="12" t="s">
        <v>100</v>
      </c>
      <c r="E672" s="12" t="s">
        <v>456</v>
      </c>
      <c r="F672" s="26">
        <v>200</v>
      </c>
      <c r="G672" s="26">
        <v>0</v>
      </c>
      <c r="H672" s="26">
        <v>0</v>
      </c>
    </row>
    <row r="673" spans="1:8" ht="94.5">
      <c r="A673" s="11" t="s">
        <v>502</v>
      </c>
      <c r="B673" s="12" t="s">
        <v>523</v>
      </c>
      <c r="C673" s="12"/>
      <c r="D673" s="12"/>
      <c r="E673" s="12"/>
      <c r="F673" s="26">
        <f>F674</f>
        <v>26.3</v>
      </c>
      <c r="G673" s="26">
        <f t="shared" ref="G673:H673" si="274">G674</f>
        <v>0</v>
      </c>
      <c r="H673" s="26">
        <f t="shared" si="274"/>
        <v>0</v>
      </c>
    </row>
    <row r="674" spans="1:8" ht="46.5" customHeight="1">
      <c r="A674" s="11" t="s">
        <v>22</v>
      </c>
      <c r="B674" s="12" t="s">
        <v>523</v>
      </c>
      <c r="C674" s="12" t="s">
        <v>96</v>
      </c>
      <c r="D674" s="12" t="s">
        <v>100</v>
      </c>
      <c r="E674" s="12" t="s">
        <v>456</v>
      </c>
      <c r="F674" s="26">
        <v>26.3</v>
      </c>
      <c r="G674" s="26">
        <v>0</v>
      </c>
      <c r="H674" s="26">
        <v>0</v>
      </c>
    </row>
    <row r="675" spans="1:8" ht="95.25" customHeight="1">
      <c r="A675" s="11" t="s">
        <v>544</v>
      </c>
      <c r="B675" s="12" t="s">
        <v>545</v>
      </c>
      <c r="C675" s="12"/>
      <c r="D675" s="12"/>
      <c r="E675" s="12"/>
      <c r="F675" s="26">
        <f>F676</f>
        <v>199.316</v>
      </c>
      <c r="G675" s="26">
        <f t="shared" ref="G675:H675" si="275">G676</f>
        <v>0</v>
      </c>
      <c r="H675" s="26">
        <f t="shared" si="275"/>
        <v>0</v>
      </c>
    </row>
    <row r="676" spans="1:8" ht="46.5" customHeight="1">
      <c r="A676" s="11" t="s">
        <v>22</v>
      </c>
      <c r="B676" s="12" t="s">
        <v>545</v>
      </c>
      <c r="C676" s="12" t="s">
        <v>96</v>
      </c>
      <c r="D676" s="12" t="s">
        <v>152</v>
      </c>
      <c r="E676" s="12" t="s">
        <v>102</v>
      </c>
      <c r="F676" s="26">
        <v>199.316</v>
      </c>
      <c r="G676" s="26">
        <v>0</v>
      </c>
      <c r="H676" s="26">
        <v>0</v>
      </c>
    </row>
    <row r="677" spans="1:8" ht="31.5">
      <c r="A677" s="7" t="s">
        <v>524</v>
      </c>
      <c r="B677" s="8" t="s">
        <v>529</v>
      </c>
      <c r="C677" s="8"/>
      <c r="D677" s="8"/>
      <c r="E677" s="8"/>
      <c r="F677" s="24">
        <f>F678</f>
        <v>16080.900000000001</v>
      </c>
      <c r="G677" s="24">
        <f t="shared" ref="G677:H677" si="276">G678</f>
        <v>6590.9</v>
      </c>
      <c r="H677" s="24">
        <f t="shared" si="276"/>
        <v>6590.9</v>
      </c>
    </row>
    <row r="678" spans="1:8">
      <c r="A678" s="9" t="s">
        <v>525</v>
      </c>
      <c r="B678" s="10" t="s">
        <v>530</v>
      </c>
      <c r="C678" s="10"/>
      <c r="D678" s="10"/>
      <c r="E678" s="10"/>
      <c r="F678" s="25">
        <f>F679+F683+F685+F687</f>
        <v>16080.900000000001</v>
      </c>
      <c r="G678" s="25">
        <f t="shared" ref="G678:H678" si="277">G679+G683+G685+G687</f>
        <v>6590.9</v>
      </c>
      <c r="H678" s="25">
        <f t="shared" si="277"/>
        <v>6590.9</v>
      </c>
    </row>
    <row r="679" spans="1:8" ht="47.25">
      <c r="A679" s="11" t="s">
        <v>14</v>
      </c>
      <c r="B679" s="12" t="s">
        <v>531</v>
      </c>
      <c r="C679" s="12"/>
      <c r="D679" s="12"/>
      <c r="E679" s="12"/>
      <c r="F679" s="26">
        <f>F680+F681+F682</f>
        <v>2771.1</v>
      </c>
      <c r="G679" s="26">
        <f t="shared" ref="G679:H679" si="278">G680+G681+G682</f>
        <v>2771.1</v>
      </c>
      <c r="H679" s="26">
        <f t="shared" si="278"/>
        <v>2771.1</v>
      </c>
    </row>
    <row r="680" spans="1:8" ht="110.25">
      <c r="A680" s="11" t="s">
        <v>15</v>
      </c>
      <c r="B680" s="12" t="s">
        <v>531</v>
      </c>
      <c r="C680" s="12" t="s">
        <v>93</v>
      </c>
      <c r="D680" s="12" t="s">
        <v>104</v>
      </c>
      <c r="E680" s="12" t="s">
        <v>100</v>
      </c>
      <c r="F680" s="26">
        <v>2220.1</v>
      </c>
      <c r="G680" s="26">
        <v>2220.1</v>
      </c>
      <c r="H680" s="26">
        <v>2220.1</v>
      </c>
    </row>
    <row r="681" spans="1:8" ht="47.25">
      <c r="A681" s="11" t="s">
        <v>16</v>
      </c>
      <c r="B681" s="12" t="s">
        <v>531</v>
      </c>
      <c r="C681" s="12" t="s">
        <v>94</v>
      </c>
      <c r="D681" s="12" t="s">
        <v>104</v>
      </c>
      <c r="E681" s="12" t="s">
        <v>100</v>
      </c>
      <c r="F681" s="26">
        <f>392+154</f>
        <v>546</v>
      </c>
      <c r="G681" s="26">
        <f>392+154</f>
        <v>546</v>
      </c>
      <c r="H681" s="26">
        <f>392+154</f>
        <v>546</v>
      </c>
    </row>
    <row r="682" spans="1:8">
      <c r="A682" s="11" t="s">
        <v>18</v>
      </c>
      <c r="B682" s="12" t="s">
        <v>531</v>
      </c>
      <c r="C682" s="12" t="s">
        <v>95</v>
      </c>
      <c r="D682" s="12" t="s">
        <v>104</v>
      </c>
      <c r="E682" s="12" t="s">
        <v>100</v>
      </c>
      <c r="F682" s="26">
        <v>5</v>
      </c>
      <c r="G682" s="26">
        <v>5</v>
      </c>
      <c r="H682" s="26">
        <v>5</v>
      </c>
    </row>
    <row r="683" spans="1:8">
      <c r="A683" s="11" t="s">
        <v>526</v>
      </c>
      <c r="B683" s="12" t="s">
        <v>532</v>
      </c>
      <c r="C683" s="12"/>
      <c r="D683" s="12"/>
      <c r="E683" s="12"/>
      <c r="F683" s="26">
        <f>F684</f>
        <v>9490</v>
      </c>
      <c r="G683" s="26">
        <f t="shared" ref="G683:H683" si="279">G684</f>
        <v>0</v>
      </c>
      <c r="H683" s="26">
        <f t="shared" si="279"/>
        <v>0</v>
      </c>
    </row>
    <row r="684" spans="1:8">
      <c r="A684" s="11" t="s">
        <v>18</v>
      </c>
      <c r="B684" s="12" t="s">
        <v>532</v>
      </c>
      <c r="C684" s="12" t="s">
        <v>95</v>
      </c>
      <c r="D684" s="12" t="s">
        <v>104</v>
      </c>
      <c r="E684" s="12" t="s">
        <v>152</v>
      </c>
      <c r="F684" s="26">
        <v>9490</v>
      </c>
      <c r="G684" s="26">
        <v>0</v>
      </c>
      <c r="H684" s="26">
        <v>0</v>
      </c>
    </row>
    <row r="685" spans="1:8" ht="31.5">
      <c r="A685" s="11" t="s">
        <v>527</v>
      </c>
      <c r="B685" s="12" t="s">
        <v>533</v>
      </c>
      <c r="C685" s="12"/>
      <c r="D685" s="12"/>
      <c r="E685" s="12"/>
      <c r="F685" s="26">
        <f>F686</f>
        <v>1476.6</v>
      </c>
      <c r="G685" s="26">
        <f t="shared" ref="G685:H685" si="280">G686</f>
        <v>1476.6</v>
      </c>
      <c r="H685" s="26">
        <f t="shared" si="280"/>
        <v>1476.6</v>
      </c>
    </row>
    <row r="686" spans="1:8" ht="110.25">
      <c r="A686" s="11" t="s">
        <v>15</v>
      </c>
      <c r="B686" s="12" t="s">
        <v>533</v>
      </c>
      <c r="C686" s="12" t="s">
        <v>93</v>
      </c>
      <c r="D686" s="12" t="s">
        <v>104</v>
      </c>
      <c r="E686" s="12" t="s">
        <v>100</v>
      </c>
      <c r="F686" s="26">
        <v>1476.6</v>
      </c>
      <c r="G686" s="26">
        <v>1476.6</v>
      </c>
      <c r="H686" s="26">
        <v>1476.6</v>
      </c>
    </row>
    <row r="687" spans="1:8" ht="31.5">
      <c r="A687" s="11" t="s">
        <v>528</v>
      </c>
      <c r="B687" s="12" t="s">
        <v>534</v>
      </c>
      <c r="C687" s="12"/>
      <c r="D687" s="12"/>
      <c r="E687" s="12"/>
      <c r="F687" s="26">
        <f>F688</f>
        <v>2343.1999999999998</v>
      </c>
      <c r="G687" s="26">
        <f t="shared" ref="G687:H687" si="281">G688</f>
        <v>2343.1999999999998</v>
      </c>
      <c r="H687" s="26">
        <f t="shared" si="281"/>
        <v>2343.1999999999998</v>
      </c>
    </row>
    <row r="688" spans="1:8" ht="110.25">
      <c r="A688" s="14" t="s">
        <v>15</v>
      </c>
      <c r="B688" s="15" t="s">
        <v>534</v>
      </c>
      <c r="C688" s="15" t="s">
        <v>93</v>
      </c>
      <c r="D688" s="15" t="s">
        <v>104</v>
      </c>
      <c r="E688" s="15" t="s">
        <v>100</v>
      </c>
      <c r="F688" s="27">
        <v>2343.1999999999998</v>
      </c>
      <c r="G688" s="27">
        <v>2343.1999999999998</v>
      </c>
      <c r="H688" s="27">
        <v>2343.1999999999998</v>
      </c>
    </row>
    <row r="689" spans="1:8">
      <c r="A689" s="5" t="s">
        <v>535</v>
      </c>
      <c r="B689" s="4"/>
      <c r="C689" s="4"/>
      <c r="D689" s="4"/>
      <c r="E689" s="4"/>
      <c r="F689" s="28">
        <f>F9+F162+F176+F229+F251+F272+F401+F472+F493+F537+F593+F600+F619+F629+F659+F677+F650</f>
        <v>2220883.3487800001</v>
      </c>
      <c r="G689" s="28">
        <f>G9+G162+G176+G229+G251+G272+G401+G472+G493+G537+G593+G600+G619+G629+G659+G677+G650</f>
        <v>1986206.3</v>
      </c>
      <c r="H689" s="28">
        <f>H9+H162+H176+H229+H251+H272+H401+H472+H493+H537+H593+H600+H619+H629+H659+H677+H650</f>
        <v>2024369.4</v>
      </c>
    </row>
  </sheetData>
  <mergeCells count="6">
    <mergeCell ref="A7:H7"/>
    <mergeCell ref="A1:H1"/>
    <mergeCell ref="A2:H2"/>
    <mergeCell ref="A3:H3"/>
    <mergeCell ref="A5:H5"/>
    <mergeCell ref="A6:H6"/>
  </mergeCells>
  <pageMargins left="0.53" right="0.24" top="0.32" bottom="0.32" header="0.16" footer="0.16"/>
  <pageSetup paperSize="9" scale="6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FFA93705DC8F4A1A8186ED3D4A1D50&lt;/Code&gt;&#10;  &lt;ObjectCode&gt;SQUERY_SVOD_ROSP&lt;/ObjectCode&gt;&#10;  &lt;DocName&gt;Сводная бюджетная роспись&lt;/DocName&gt;&#10;  &lt;VariantName&gt;Программное приложение к бюджету (по черновику)&lt;/VariantName&gt;&#10;  &lt;VariantLink&gt;22601036&lt;/VariantLink&gt;&#10;  &lt;ReportLink&gt;126924&lt;/ReportLink&gt;&#10;  &lt;Note&gt;01.01.2018 - 02.01.2018&#10;&lt;/Note&gt;&#10;  &lt;SilentMode&gt;false&lt;/SilentMode&gt;&#10;  &lt;DateInfo&gt;&#10;    &lt;string&gt;01.01.2018&lt;/string&gt;&#10;    &lt;string&gt;02.01.2018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2E0E0764-25FA-475C-BA0F-DD4BF5B0AD8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Хабиева Елена Викторовна</dc:creator>
  <cp:lastModifiedBy>Шлоева Ольга Николаевна</cp:lastModifiedBy>
  <cp:lastPrinted>2019-04-19T07:54:19Z</cp:lastPrinted>
  <dcterms:created xsi:type="dcterms:W3CDTF">2017-11-09T11:31:29Z</dcterms:created>
  <dcterms:modified xsi:type="dcterms:W3CDTF">2019-07-09T08:03:02Z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Сводная бюджетная роспись</vt:lpwstr>
  </property>
</Properties>
</file>