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8" yWindow="-12" windowWidth="10296" windowHeight="8112"/>
  </bookViews>
  <sheets>
    <sheet name="Документ" sheetId="1" r:id="rId1"/>
  </sheets>
  <definedNames>
    <definedName name="_xlnm.Print_Titles" localSheetId="0">Документ!$6:$6</definedName>
  </definedNames>
  <calcPr calcId="125725" fullCalcOnLoad="1"/>
</workbook>
</file>

<file path=xl/calcChain.xml><?xml version="1.0" encoding="utf-8"?>
<calcChain xmlns="http://schemas.openxmlformats.org/spreadsheetml/2006/main">
  <c r="G382" i="1"/>
  <c r="G604"/>
  <c r="G603"/>
  <c r="G601"/>
  <c r="G599"/>
  <c r="G597"/>
  <c r="G593"/>
  <c r="G591"/>
  <c r="G586"/>
  <c r="G584"/>
  <c r="G582"/>
  <c r="G580"/>
  <c r="G579"/>
  <c r="G578"/>
  <c r="G577"/>
  <c r="G575"/>
  <c r="G574"/>
  <c r="G570"/>
  <c r="G569"/>
  <c r="G568"/>
  <c r="G566"/>
  <c r="G563"/>
  <c r="G562"/>
  <c r="G561"/>
  <c r="G559"/>
  <c r="G557"/>
  <c r="G556"/>
  <c r="G553"/>
  <c r="G551"/>
  <c r="G549"/>
  <c r="G547"/>
  <c r="G546"/>
  <c r="G545"/>
  <c r="H545"/>
  <c r="G543"/>
  <c r="G538"/>
  <c r="G535"/>
  <c r="G533"/>
  <c r="G532"/>
  <c r="G530"/>
  <c r="G528"/>
  <c r="G526"/>
  <c r="G525"/>
  <c r="G522"/>
  <c r="G521"/>
  <c r="G518"/>
  <c r="G515"/>
  <c r="G513"/>
  <c r="G511"/>
  <c r="G509"/>
  <c r="G507"/>
  <c r="G506"/>
  <c r="G502"/>
  <c r="G498"/>
  <c r="G496"/>
  <c r="G494"/>
  <c r="G492"/>
  <c r="G488"/>
  <c r="G487"/>
  <c r="G486"/>
  <c r="G485"/>
  <c r="G484"/>
  <c r="G483"/>
  <c r="G482"/>
  <c r="G478"/>
  <c r="G477"/>
  <c r="G476"/>
  <c r="G475"/>
  <c r="G474"/>
  <c r="G473"/>
  <c r="G472"/>
  <c r="G471"/>
  <c r="G470"/>
  <c r="G469"/>
  <c r="G468"/>
  <c r="G465"/>
  <c r="G463"/>
  <c r="G458"/>
  <c r="G457"/>
  <c r="G456"/>
  <c r="G455"/>
  <c r="G454"/>
  <c r="G453"/>
  <c r="G452"/>
  <c r="G451"/>
  <c r="G450"/>
  <c r="G449"/>
  <c r="G448"/>
  <c r="G444"/>
  <c r="G443"/>
  <c r="G442"/>
  <c r="G440"/>
  <c r="G438"/>
  <c r="G437"/>
  <c r="G436"/>
  <c r="G435"/>
  <c r="G434"/>
  <c r="G433"/>
  <c r="G432"/>
  <c r="H432"/>
  <c r="G431"/>
  <c r="G429"/>
  <c r="G427"/>
  <c r="G425"/>
  <c r="G424"/>
  <c r="G422"/>
  <c r="G420"/>
  <c r="G418"/>
  <c r="G417"/>
  <c r="G416"/>
  <c r="G414"/>
  <c r="G412"/>
  <c r="G411"/>
  <c r="G410"/>
  <c r="G408"/>
  <c r="G406"/>
  <c r="G405"/>
  <c r="G404"/>
  <c r="G402"/>
  <c r="G401"/>
  <c r="G399"/>
  <c r="G396"/>
  <c r="G395"/>
  <c r="G394"/>
  <c r="G393"/>
  <c r="G392"/>
  <c r="G391"/>
  <c r="G390"/>
  <c r="G389"/>
  <c r="G388"/>
  <c r="G386"/>
  <c r="G384"/>
  <c r="G380"/>
  <c r="G375"/>
  <c r="G374"/>
  <c r="G371"/>
  <c r="G370"/>
  <c r="G367"/>
  <c r="G366"/>
  <c r="G363"/>
  <c r="G361"/>
  <c r="G356"/>
  <c r="G355"/>
  <c r="G353"/>
  <c r="G352"/>
  <c r="G349"/>
  <c r="G348"/>
  <c r="G345"/>
  <c r="G344"/>
  <c r="G340"/>
  <c r="G339"/>
  <c r="G335"/>
  <c r="G334"/>
  <c r="G332"/>
  <c r="G331"/>
  <c r="G330"/>
  <c r="G329"/>
  <c r="G328"/>
  <c r="G325"/>
  <c r="G324"/>
  <c r="G323"/>
  <c r="G322"/>
  <c r="G321"/>
  <c r="G320"/>
  <c r="G319"/>
  <c r="G318"/>
  <c r="G317"/>
  <c r="H317"/>
  <c r="G316"/>
  <c r="G315"/>
  <c r="G314"/>
  <c r="H314"/>
  <c r="G312"/>
  <c r="G311"/>
  <c r="G308"/>
  <c r="G307"/>
  <c r="G306"/>
  <c r="G303"/>
  <c r="G302"/>
  <c r="G301"/>
  <c r="G298"/>
  <c r="G297"/>
  <c r="G293"/>
  <c r="G291"/>
  <c r="G290"/>
  <c r="G289"/>
  <c r="G285"/>
  <c r="G284"/>
  <c r="G281"/>
  <c r="G280"/>
  <c r="G278"/>
  <c r="G276"/>
  <c r="G274"/>
  <c r="G273"/>
  <c r="H273"/>
  <c r="G269"/>
  <c r="G266"/>
  <c r="G264"/>
  <c r="G263"/>
  <c r="G261"/>
  <c r="G260"/>
  <c r="G257"/>
  <c r="G256"/>
  <c r="G253"/>
  <c r="G252"/>
  <c r="H252"/>
  <c r="G251"/>
  <c r="H251"/>
  <c r="G250"/>
  <c r="G249"/>
  <c r="G248"/>
  <c r="G247"/>
  <c r="G246"/>
  <c r="G245"/>
  <c r="G244"/>
  <c r="G243"/>
  <c r="G241"/>
  <c r="G239"/>
  <c r="G238"/>
  <c r="G237"/>
  <c r="G230"/>
  <c r="G229"/>
  <c r="G228"/>
  <c r="H228"/>
  <c r="G226"/>
  <c r="G220"/>
  <c r="G218"/>
  <c r="G216"/>
  <c r="G214"/>
  <c r="G211"/>
  <c r="G209"/>
  <c r="G207"/>
  <c r="G206"/>
  <c r="G205"/>
  <c r="H205"/>
  <c r="G203"/>
  <c r="G201"/>
  <c r="G198"/>
  <c r="G196"/>
  <c r="G194"/>
  <c r="G193"/>
  <c r="G192"/>
  <c r="G191"/>
  <c r="G190"/>
  <c r="G189"/>
  <c r="G187"/>
  <c r="G186"/>
  <c r="G185"/>
  <c r="G184"/>
  <c r="G182"/>
  <c r="G180"/>
  <c r="G177"/>
  <c r="G174"/>
  <c r="G172"/>
  <c r="G169"/>
  <c r="G167"/>
  <c r="G164"/>
  <c r="G162"/>
  <c r="G160"/>
  <c r="G158"/>
  <c r="G154"/>
  <c r="G152"/>
  <c r="G151"/>
  <c r="G149"/>
  <c r="G148"/>
  <c r="H148"/>
  <c r="G147"/>
  <c r="G146"/>
  <c r="G144"/>
  <c r="G142"/>
  <c r="G138"/>
  <c r="G136"/>
  <c r="G135"/>
  <c r="H135"/>
  <c r="G133"/>
  <c r="G132"/>
  <c r="H132"/>
  <c r="G131"/>
  <c r="G130"/>
  <c r="G125"/>
  <c r="G124"/>
  <c r="G122"/>
  <c r="G119"/>
  <c r="G120"/>
  <c r="G116"/>
  <c r="G115"/>
  <c r="G112"/>
  <c r="G111"/>
  <c r="G109"/>
  <c r="G107"/>
  <c r="G105"/>
  <c r="G104"/>
  <c r="G102"/>
  <c r="G101"/>
  <c r="H101"/>
  <c r="G97"/>
  <c r="G95"/>
  <c r="G93"/>
  <c r="G90"/>
  <c r="G89"/>
  <c r="G85"/>
  <c r="G79"/>
  <c r="G77"/>
  <c r="G75"/>
  <c r="G74"/>
  <c r="G73"/>
  <c r="G72"/>
  <c r="G70"/>
  <c r="G68"/>
  <c r="G67"/>
  <c r="G66"/>
  <c r="G64"/>
  <c r="G60"/>
  <c r="G58"/>
  <c r="G53"/>
  <c r="G51"/>
  <c r="G45"/>
  <c r="G44"/>
  <c r="G47"/>
  <c r="G43"/>
  <c r="G42"/>
  <c r="H42"/>
  <c r="G40"/>
  <c r="G38"/>
  <c r="G34"/>
  <c r="G32"/>
  <c r="G30"/>
  <c r="G28"/>
  <c r="G24"/>
  <c r="G23"/>
  <c r="G21"/>
  <c r="G20"/>
  <c r="G18"/>
  <c r="G17"/>
  <c r="G15"/>
  <c r="G13"/>
  <c r="G12"/>
  <c r="H600"/>
  <c r="H596"/>
  <c r="H594"/>
  <c r="H585"/>
  <c r="H583"/>
  <c r="H581"/>
  <c r="H567"/>
  <c r="H560"/>
  <c r="H558"/>
  <c r="H552"/>
  <c r="H550"/>
  <c r="H548"/>
  <c r="H544"/>
  <c r="H540"/>
  <c r="H539"/>
  <c r="H531"/>
  <c r="H529"/>
  <c r="H504"/>
  <c r="H489"/>
  <c r="H464"/>
  <c r="H460"/>
  <c r="H459"/>
  <c r="H445"/>
  <c r="H441"/>
  <c r="H439"/>
  <c r="H430"/>
  <c r="H428"/>
  <c r="H423"/>
  <c r="H421"/>
  <c r="H419"/>
  <c r="H415"/>
  <c r="H413"/>
  <c r="H409"/>
  <c r="H407"/>
  <c r="H403"/>
  <c r="H400"/>
  <c r="H387"/>
  <c r="H385"/>
  <c r="H381"/>
  <c r="H376"/>
  <c r="H368"/>
  <c r="H354"/>
  <c r="H347"/>
  <c r="H336"/>
  <c r="H326"/>
  <c r="H299"/>
  <c r="H294"/>
  <c r="H292"/>
  <c r="H282"/>
  <c r="H279"/>
  <c r="H275"/>
  <c r="H267"/>
  <c r="H240"/>
  <c r="H231"/>
  <c r="H219"/>
  <c r="H217"/>
  <c r="H215"/>
  <c r="H210"/>
  <c r="H208"/>
  <c r="H204"/>
  <c r="H202"/>
  <c r="H197"/>
  <c r="H195"/>
  <c r="H181"/>
  <c r="H176"/>
  <c r="H175"/>
  <c r="H173"/>
  <c r="H168"/>
  <c r="H163"/>
  <c r="H161"/>
  <c r="H155"/>
  <c r="H153"/>
  <c r="H143"/>
  <c r="H139"/>
  <c r="H137"/>
  <c r="H134"/>
  <c r="H129"/>
  <c r="H128"/>
  <c r="H123"/>
  <c r="H121"/>
  <c r="H117"/>
  <c r="H114"/>
  <c r="H110"/>
  <c r="H108"/>
  <c r="H106"/>
  <c r="H103"/>
  <c r="H98"/>
  <c r="H94"/>
  <c r="H71"/>
  <c r="H59"/>
  <c r="H46"/>
  <c r="H35"/>
  <c r="H29"/>
  <c r="H22"/>
  <c r="H16"/>
  <c r="G9"/>
  <c r="G8"/>
  <c r="H8"/>
  <c r="H10"/>
  <c r="F393"/>
  <c r="H393"/>
  <c r="F392"/>
  <c r="H392"/>
  <c r="F470"/>
  <c r="H470"/>
  <c r="F469"/>
  <c r="H469"/>
  <c r="F479"/>
  <c r="H479"/>
  <c r="F478"/>
  <c r="H478"/>
  <c r="F472"/>
  <c r="H472"/>
  <c r="F435"/>
  <c r="H435"/>
  <c r="F425"/>
  <c r="H425"/>
  <c r="F417"/>
  <c r="H417"/>
  <c r="F399"/>
  <c r="H399"/>
  <c r="F401"/>
  <c r="H401"/>
  <c r="F397"/>
  <c r="H397"/>
  <c r="F395"/>
  <c r="H395"/>
  <c r="F222"/>
  <c r="H222"/>
  <c r="F221"/>
  <c r="H221"/>
  <c r="F212"/>
  <c r="H212"/>
  <c r="F188"/>
  <c r="H188"/>
  <c r="F253"/>
  <c r="H253"/>
  <c r="F238"/>
  <c r="H238"/>
  <c r="F303"/>
  <c r="H303"/>
  <c r="F332"/>
  <c r="H332"/>
  <c r="F323"/>
  <c r="H323"/>
  <c r="F321"/>
  <c r="H321"/>
  <c r="F319"/>
  <c r="H319"/>
  <c r="F318"/>
  <c r="H318"/>
  <c r="F316"/>
  <c r="H316"/>
  <c r="F315"/>
  <c r="H315"/>
  <c r="F314"/>
  <c r="F312"/>
  <c r="H312"/>
  <c r="F258"/>
  <c r="H258"/>
  <c r="F270"/>
  <c r="H270"/>
  <c r="F327"/>
  <c r="H327"/>
  <c r="F235"/>
  <c r="H235"/>
  <c r="F309"/>
  <c r="H309"/>
  <c r="F308"/>
  <c r="H308"/>
  <c r="F271"/>
  <c r="H271"/>
  <c r="F265"/>
  <c r="H265"/>
  <c r="F262"/>
  <c r="H262"/>
  <c r="F261"/>
  <c r="H261"/>
  <c r="F257"/>
  <c r="F227"/>
  <c r="H227"/>
  <c r="F272"/>
  <c r="H272"/>
  <c r="F293"/>
  <c r="H293"/>
  <c r="F296"/>
  <c r="H296"/>
  <c r="F534"/>
  <c r="H534"/>
  <c r="F493"/>
  <c r="H493"/>
  <c r="F503"/>
  <c r="H503"/>
  <c r="F14"/>
  <c r="H14"/>
  <c r="F13"/>
  <c r="H13"/>
  <c r="F25"/>
  <c r="H25"/>
  <c r="F520"/>
  <c r="H520"/>
  <c r="F519"/>
  <c r="H519"/>
  <c r="F510"/>
  <c r="H510"/>
  <c r="F259"/>
  <c r="H259"/>
  <c r="F256"/>
  <c r="F245"/>
  <c r="H245"/>
  <c r="F244"/>
  <c r="H244"/>
  <c r="F251"/>
  <c r="F250"/>
  <c r="H250"/>
  <c r="F248"/>
  <c r="H248"/>
  <c r="F247"/>
  <c r="H247"/>
  <c r="F570"/>
  <c r="H570"/>
  <c r="F569"/>
  <c r="H569"/>
  <c r="F588"/>
  <c r="H588"/>
  <c r="F587"/>
  <c r="H587"/>
  <c r="F564"/>
  <c r="H564"/>
  <c r="F495"/>
  <c r="H495"/>
  <c r="F73"/>
  <c r="H73"/>
  <c r="F19"/>
  <c r="H19"/>
  <c r="F365"/>
  <c r="H365"/>
  <c r="F364"/>
  <c r="H364"/>
  <c r="F362"/>
  <c r="H362"/>
  <c r="F554"/>
  <c r="H554"/>
  <c r="F516"/>
  <c r="H516"/>
  <c r="F15"/>
  <c r="H15"/>
  <c r="F595"/>
  <c r="H595"/>
  <c r="F604"/>
  <c r="F501"/>
  <c r="H501"/>
  <c r="F499"/>
  <c r="H499"/>
  <c r="F480"/>
  <c r="H480"/>
  <c r="F476"/>
  <c r="H476"/>
  <c r="F475"/>
  <c r="H475"/>
  <c r="F474"/>
  <c r="H474"/>
  <c r="F466"/>
  <c r="H466"/>
  <c r="F434"/>
  <c r="H434"/>
  <c r="F433"/>
  <c r="F383"/>
  <c r="H383"/>
  <c r="F277"/>
  <c r="H277"/>
  <c r="F274"/>
  <c r="H274"/>
  <c r="F229"/>
  <c r="H229"/>
  <c r="F186"/>
  <c r="H186"/>
  <c r="F41"/>
  <c r="H41"/>
  <c r="F39"/>
  <c r="H39"/>
  <c r="F453"/>
  <c r="H453"/>
  <c r="F456"/>
  <c r="H456"/>
  <c r="F455"/>
  <c r="H455"/>
  <c r="F452"/>
  <c r="H452"/>
  <c r="F450"/>
  <c r="H450"/>
  <c r="F449"/>
  <c r="H449"/>
  <c r="F357"/>
  <c r="H357"/>
  <c r="F350"/>
  <c r="H350"/>
  <c r="F346"/>
  <c r="H346"/>
  <c r="F342"/>
  <c r="H342"/>
  <c r="F341"/>
  <c r="H341"/>
  <c r="F411"/>
  <c r="H411"/>
  <c r="F500"/>
  <c r="H500"/>
  <c r="F33"/>
  <c r="H33"/>
  <c r="F34"/>
  <c r="H34"/>
  <c r="F602"/>
  <c r="H602"/>
  <c r="F527"/>
  <c r="H527"/>
  <c r="F578"/>
  <c r="H578"/>
  <c r="F522"/>
  <c r="H522"/>
  <c r="F508"/>
  <c r="H508"/>
  <c r="F507"/>
  <c r="F497"/>
  <c r="H497"/>
  <c r="F55"/>
  <c r="H55"/>
  <c r="F31"/>
  <c r="H31"/>
  <c r="F82"/>
  <c r="H82"/>
  <c r="F80"/>
  <c r="H80"/>
  <c r="F69"/>
  <c r="H69"/>
  <c r="F61"/>
  <c r="F149"/>
  <c r="H149"/>
  <c r="F147"/>
  <c r="H147"/>
  <c r="F116"/>
  <c r="H116"/>
  <c r="F91"/>
  <c r="H91"/>
  <c r="F343"/>
  <c r="H343"/>
  <c r="F467"/>
  <c r="H467"/>
  <c r="F165"/>
  <c r="H165"/>
  <c r="F170"/>
  <c r="H170"/>
  <c r="F159"/>
  <c r="H159"/>
  <c r="F514"/>
  <c r="H514"/>
  <c r="F70"/>
  <c r="H70"/>
  <c r="F67"/>
  <c r="H67"/>
  <c r="F330"/>
  <c r="H330"/>
  <c r="F436"/>
  <c r="H436"/>
  <c r="F432"/>
  <c r="F86"/>
  <c r="H86"/>
  <c r="F76"/>
  <c r="H76"/>
  <c r="F84"/>
  <c r="H84"/>
  <c r="F52"/>
  <c r="H52"/>
  <c r="F448"/>
  <c r="F54"/>
  <c r="H54"/>
  <c r="F390"/>
  <c r="H390"/>
  <c r="F389"/>
  <c r="H389"/>
  <c r="F443"/>
  <c r="H443"/>
  <c r="F405"/>
  <c r="H405"/>
  <c r="F305"/>
  <c r="H305"/>
  <c r="F313"/>
  <c r="H313"/>
  <c r="F28"/>
  <c r="H28"/>
  <c r="F145"/>
  <c r="H145"/>
  <c r="F291"/>
  <c r="H291"/>
  <c r="F546"/>
  <c r="H546"/>
  <c r="F545"/>
  <c r="F431"/>
  <c r="H431"/>
  <c r="F562"/>
  <c r="H562"/>
  <c r="F72"/>
  <c r="H72"/>
  <c r="F63"/>
  <c r="H63"/>
  <c r="F65"/>
  <c r="H65"/>
  <c r="F48"/>
  <c r="H48"/>
  <c r="F492"/>
  <c r="H492"/>
  <c r="F506"/>
  <c r="F125"/>
  <c r="H125"/>
  <c r="F211"/>
  <c r="H211"/>
  <c r="F226"/>
  <c r="F414"/>
  <c r="H414"/>
  <c r="F420"/>
  <c r="H420"/>
  <c r="F592"/>
  <c r="H592"/>
  <c r="F598"/>
  <c r="H598"/>
  <c r="F372"/>
  <c r="H372"/>
  <c r="F178"/>
  <c r="H178"/>
  <c r="F177"/>
  <c r="H177"/>
  <c r="F576"/>
  <c r="H576"/>
  <c r="F577"/>
  <c r="H577"/>
  <c r="F547"/>
  <c r="H547"/>
  <c r="F530"/>
  <c r="H530"/>
  <c r="F209"/>
  <c r="H209"/>
  <c r="F199"/>
  <c r="F198"/>
  <c r="H198"/>
  <c r="F187"/>
  <c r="H187"/>
  <c r="F113"/>
  <c r="H113"/>
  <c r="F112"/>
  <c r="F111"/>
  <c r="H111"/>
  <c r="F599"/>
  <c r="H599"/>
  <c r="F288"/>
  <c r="H288"/>
  <c r="F287"/>
  <c r="H287"/>
  <c r="F286"/>
  <c r="H286"/>
  <c r="F521"/>
  <c r="H521"/>
  <c r="F78"/>
  <c r="H78"/>
  <c r="F77"/>
  <c r="H77"/>
  <c r="F75"/>
  <c r="H75"/>
  <c r="F207"/>
  <c r="H207"/>
  <c r="F193"/>
  <c r="H193"/>
  <c r="F191"/>
  <c r="H191"/>
  <c r="F58"/>
  <c r="H58"/>
  <c r="F182"/>
  <c r="F180"/>
  <c r="F179"/>
  <c r="F43"/>
  <c r="H43"/>
  <c r="F537"/>
  <c r="H537"/>
  <c r="F536"/>
  <c r="H536"/>
  <c r="F535"/>
  <c r="H535"/>
  <c r="F100"/>
  <c r="H100"/>
  <c r="F96"/>
  <c r="F95"/>
  <c r="H95"/>
  <c r="F30"/>
  <c r="H30"/>
  <c r="F42"/>
  <c r="F515"/>
  <c r="H515"/>
  <c r="F99"/>
  <c r="H99"/>
  <c r="F97"/>
  <c r="H97"/>
  <c r="F148"/>
  <c r="F285"/>
  <c r="F307"/>
  <c r="H307"/>
  <c r="F306"/>
  <c r="F124"/>
  <c r="H124"/>
  <c r="F120"/>
  <c r="H120"/>
  <c r="F133"/>
  <c r="H133"/>
  <c r="F132"/>
  <c r="F152"/>
  <c r="H152"/>
  <c r="F131"/>
  <c r="H131"/>
  <c r="F142"/>
  <c r="H142"/>
  <c r="F144"/>
  <c r="H144"/>
  <c r="F51"/>
  <c r="F340"/>
  <c r="H340"/>
  <c r="F488"/>
  <c r="H488"/>
  <c r="F486"/>
  <c r="F485"/>
  <c r="H485"/>
  <c r="F484"/>
  <c r="H484"/>
  <c r="F233"/>
  <c r="H233"/>
  <c r="F146"/>
  <c r="F141"/>
  <c r="F140"/>
  <c r="F234"/>
  <c r="H234"/>
  <c r="F109"/>
  <c r="H109"/>
  <c r="F107"/>
  <c r="H107"/>
  <c r="F105"/>
  <c r="H105"/>
  <c r="F164"/>
  <c r="H164"/>
  <c r="F206"/>
  <c r="H206"/>
  <c r="F512"/>
  <c r="H512"/>
  <c r="F64"/>
  <c r="H64"/>
  <c r="F276"/>
  <c r="H276"/>
  <c r="F273"/>
  <c r="F242"/>
  <c r="H242"/>
  <c r="F573"/>
  <c r="H573"/>
  <c r="F9"/>
  <c r="H9"/>
  <c r="F8"/>
  <c r="F7"/>
  <c r="F18"/>
  <c r="H18"/>
  <c r="F21"/>
  <c r="H21"/>
  <c r="F24"/>
  <c r="H24"/>
  <c r="F32"/>
  <c r="H32"/>
  <c r="F38"/>
  <c r="F40"/>
  <c r="H40"/>
  <c r="F45"/>
  <c r="H45"/>
  <c r="F47"/>
  <c r="F44"/>
  <c r="F53"/>
  <c r="H53"/>
  <c r="F60"/>
  <c r="F66"/>
  <c r="H66"/>
  <c r="F68"/>
  <c r="H68"/>
  <c r="F79"/>
  <c r="H79"/>
  <c r="F81"/>
  <c r="H81"/>
  <c r="F83"/>
  <c r="H83"/>
  <c r="F85"/>
  <c r="H85"/>
  <c r="F90"/>
  <c r="H90"/>
  <c r="F93"/>
  <c r="H93"/>
  <c r="F102"/>
  <c r="H102"/>
  <c r="F101"/>
  <c r="F122"/>
  <c r="H122"/>
  <c r="F119"/>
  <c r="F118"/>
  <c r="F136"/>
  <c r="F135"/>
  <c r="F138"/>
  <c r="H138"/>
  <c r="F154"/>
  <c r="H154"/>
  <c r="F151"/>
  <c r="F150"/>
  <c r="F158"/>
  <c r="H158"/>
  <c r="F160"/>
  <c r="H160"/>
  <c r="F162"/>
  <c r="H162"/>
  <c r="F167"/>
  <c r="F169"/>
  <c r="H169"/>
  <c r="F172"/>
  <c r="H172"/>
  <c r="F174"/>
  <c r="H174"/>
  <c r="F185"/>
  <c r="H185"/>
  <c r="F184"/>
  <c r="F190"/>
  <c r="H190"/>
  <c r="F192"/>
  <c r="H192"/>
  <c r="F194"/>
  <c r="H194"/>
  <c r="F196"/>
  <c r="H196"/>
  <c r="F201"/>
  <c r="H201"/>
  <c r="F203"/>
  <c r="H203"/>
  <c r="F205"/>
  <c r="F214"/>
  <c r="H214"/>
  <c r="F216"/>
  <c r="H216"/>
  <c r="F218"/>
  <c r="H218"/>
  <c r="F220"/>
  <c r="H220"/>
  <c r="F228"/>
  <c r="F230"/>
  <c r="H230"/>
  <c r="F237"/>
  <c r="F239"/>
  <c r="H239"/>
  <c r="F252"/>
  <c r="F260"/>
  <c r="H260"/>
  <c r="F264"/>
  <c r="F263"/>
  <c r="F266"/>
  <c r="H266"/>
  <c r="F269"/>
  <c r="H269"/>
  <c r="F268"/>
  <c r="F278"/>
  <c r="H278"/>
  <c r="F281"/>
  <c r="H281"/>
  <c r="F295"/>
  <c r="H295"/>
  <c r="F298"/>
  <c r="H298"/>
  <c r="F302"/>
  <c r="H302"/>
  <c r="F304"/>
  <c r="H304"/>
  <c r="F311"/>
  <c r="H311"/>
  <c r="F317"/>
  <c r="F320"/>
  <c r="H320"/>
  <c r="F322"/>
  <c r="H322"/>
  <c r="F325"/>
  <c r="F324"/>
  <c r="H324"/>
  <c r="F329"/>
  <c r="H329"/>
  <c r="F331"/>
  <c r="H331"/>
  <c r="F335"/>
  <c r="H335"/>
  <c r="F345"/>
  <c r="F344"/>
  <c r="H344"/>
  <c r="F349"/>
  <c r="F348"/>
  <c r="F353"/>
  <c r="F352"/>
  <c r="F356"/>
  <c r="H356"/>
  <c r="F355"/>
  <c r="H355"/>
  <c r="F361"/>
  <c r="H361"/>
  <c r="F363"/>
  <c r="F367"/>
  <c r="H367"/>
  <c r="F371"/>
  <c r="F370"/>
  <c r="F375"/>
  <c r="H375"/>
  <c r="F374"/>
  <c r="F373"/>
  <c r="F380"/>
  <c r="H380"/>
  <c r="F382"/>
  <c r="H382"/>
  <c r="F384"/>
  <c r="H384"/>
  <c r="F386"/>
  <c r="H386"/>
  <c r="F388"/>
  <c r="F391"/>
  <c r="F394"/>
  <c r="H394"/>
  <c r="F396"/>
  <c r="H396"/>
  <c r="F402"/>
  <c r="H402"/>
  <c r="F406"/>
  <c r="H406"/>
  <c r="F408"/>
  <c r="H408"/>
  <c r="F410"/>
  <c r="F412"/>
  <c r="H412"/>
  <c r="F418"/>
  <c r="H418"/>
  <c r="F422"/>
  <c r="H422"/>
  <c r="F424"/>
  <c r="F427"/>
  <c r="H427"/>
  <c r="F429"/>
  <c r="F426"/>
  <c r="F438"/>
  <c r="H438"/>
  <c r="F440"/>
  <c r="H440"/>
  <c r="F442"/>
  <c r="H442"/>
  <c r="F444"/>
  <c r="H444"/>
  <c r="F451"/>
  <c r="H451"/>
  <c r="F454"/>
  <c r="H454"/>
  <c r="F458"/>
  <c r="H458"/>
  <c r="F457"/>
  <c r="F463"/>
  <c r="H463"/>
  <c r="F468"/>
  <c r="F471"/>
  <c r="F473"/>
  <c r="F494"/>
  <c r="H494"/>
  <c r="F496"/>
  <c r="H496"/>
  <c r="F498"/>
  <c r="H498"/>
  <c r="F502"/>
  <c r="F511"/>
  <c r="H511"/>
  <c r="F513"/>
  <c r="H513"/>
  <c r="F526"/>
  <c r="H526"/>
  <c r="F528"/>
  <c r="H528"/>
  <c r="F533"/>
  <c r="H533"/>
  <c r="F532"/>
  <c r="F538"/>
  <c r="F543"/>
  <c r="H543"/>
  <c r="F549"/>
  <c r="H549"/>
  <c r="F551"/>
  <c r="H551"/>
  <c r="F553"/>
  <c r="H553"/>
  <c r="F542"/>
  <c r="F541"/>
  <c r="H541"/>
  <c r="F557"/>
  <c r="H557"/>
  <c r="F559"/>
  <c r="H559"/>
  <c r="F561"/>
  <c r="H561"/>
  <c r="F563"/>
  <c r="H563"/>
  <c r="F556"/>
  <c r="F566"/>
  <c r="H566"/>
  <c r="F568"/>
  <c r="F565"/>
  <c r="F572"/>
  <c r="H572"/>
  <c r="F575"/>
  <c r="H575"/>
  <c r="F580"/>
  <c r="H580"/>
  <c r="F582"/>
  <c r="H582"/>
  <c r="F584"/>
  <c r="H584"/>
  <c r="F586"/>
  <c r="H586"/>
  <c r="F579"/>
  <c r="F591"/>
  <c r="H591"/>
  <c r="F593"/>
  <c r="H593"/>
  <c r="F601"/>
  <c r="H601"/>
  <c r="F603"/>
  <c r="F328"/>
  <c r="F437"/>
  <c r="F213"/>
  <c r="F166"/>
  <c r="F37"/>
  <c r="F36"/>
  <c r="F92"/>
  <c r="F171"/>
  <c r="F477"/>
  <c r="F351"/>
  <c r="F157"/>
  <c r="F156"/>
  <c r="F27"/>
  <c r="F26"/>
  <c r="F74"/>
  <c r="F301"/>
  <c r="H301"/>
  <c r="F200"/>
  <c r="F104"/>
  <c r="F284"/>
  <c r="F283"/>
  <c r="H283"/>
  <c r="F465"/>
  <c r="H465"/>
  <c r="F518"/>
  <c r="H518"/>
  <c r="F243"/>
  <c r="H243"/>
  <c r="F249"/>
  <c r="F246"/>
  <c r="F310"/>
  <c r="F300"/>
  <c r="F255"/>
  <c r="G590"/>
  <c r="H604"/>
  <c r="G589"/>
  <c r="G565"/>
  <c r="H565"/>
  <c r="H556"/>
  <c r="G542"/>
  <c r="H542"/>
  <c r="G541"/>
  <c r="G517"/>
  <c r="G505"/>
  <c r="H506"/>
  <c r="H507"/>
  <c r="G462"/>
  <c r="G461"/>
  <c r="H468"/>
  <c r="G447"/>
  <c r="H448"/>
  <c r="H433"/>
  <c r="G426"/>
  <c r="H429"/>
  <c r="G398"/>
  <c r="G379"/>
  <c r="H391"/>
  <c r="G369"/>
  <c r="H352"/>
  <c r="H353"/>
  <c r="G310"/>
  <c r="H310"/>
  <c r="G268"/>
  <c r="H268"/>
  <c r="G255"/>
  <c r="H256"/>
  <c r="H257"/>
  <c r="G236"/>
  <c r="H237"/>
  <c r="G179"/>
  <c r="H179"/>
  <c r="G127"/>
  <c r="G57"/>
  <c r="G56"/>
  <c r="H60"/>
  <c r="H61"/>
  <c r="G37"/>
  <c r="G36"/>
  <c r="H36"/>
  <c r="H38"/>
  <c r="G446"/>
  <c r="H255"/>
  <c r="G126"/>
  <c r="G27"/>
  <c r="G26"/>
  <c r="H26"/>
  <c r="G11"/>
  <c r="G555"/>
  <c r="G524"/>
  <c r="G523"/>
  <c r="G491"/>
  <c r="G490"/>
  <c r="G378"/>
  <c r="G377"/>
  <c r="G360"/>
  <c r="G359"/>
  <c r="G351"/>
  <c r="H351"/>
  <c r="H349"/>
  <c r="H345"/>
  <c r="G338"/>
  <c r="H325"/>
  <c r="H306"/>
  <c r="G300"/>
  <c r="H300"/>
  <c r="G283"/>
  <c r="H285"/>
  <c r="G254"/>
  <c r="G225"/>
  <c r="H226"/>
  <c r="G213"/>
  <c r="H213"/>
  <c r="G200"/>
  <c r="H200"/>
  <c r="G183"/>
  <c r="H184"/>
  <c r="G171"/>
  <c r="H171"/>
  <c r="G166"/>
  <c r="H166"/>
  <c r="H167"/>
  <c r="G157"/>
  <c r="H157"/>
  <c r="G92"/>
  <c r="H92"/>
  <c r="G50"/>
  <c r="G49"/>
  <c r="H51"/>
  <c r="G337"/>
  <c r="G88"/>
  <c r="F369"/>
  <c r="H370"/>
  <c r="H369"/>
  <c r="H426"/>
  <c r="G358"/>
  <c r="G373"/>
  <c r="H373"/>
  <c r="H374"/>
  <c r="F491"/>
  <c r="G156"/>
  <c r="H156"/>
  <c r="G224"/>
  <c r="G223"/>
  <c r="H284"/>
  <c r="H27"/>
  <c r="H37"/>
  <c r="H180"/>
  <c r="H371"/>
  <c r="F462"/>
  <c r="F517"/>
  <c r="H517"/>
  <c r="F189"/>
  <c r="F183"/>
  <c r="H183"/>
  <c r="F574"/>
  <c r="H574"/>
  <c r="F525"/>
  <c r="F447"/>
  <c r="F379"/>
  <c r="F366"/>
  <c r="H366"/>
  <c r="H44"/>
  <c r="H74"/>
  <c r="H104"/>
  <c r="H246"/>
  <c r="H388"/>
  <c r="H424"/>
  <c r="H473"/>
  <c r="H502"/>
  <c r="H532"/>
  <c r="H568"/>
  <c r="H579"/>
  <c r="H603"/>
  <c r="H363"/>
  <c r="F360"/>
  <c r="F359"/>
  <c r="F358"/>
  <c r="G118"/>
  <c r="H119"/>
  <c r="G141"/>
  <c r="H146"/>
  <c r="G150"/>
  <c r="H150"/>
  <c r="H151"/>
  <c r="G333"/>
  <c r="H334"/>
  <c r="H189"/>
  <c r="H249"/>
  <c r="H263"/>
  <c r="H328"/>
  <c r="H348"/>
  <c r="H410"/>
  <c r="H437"/>
  <c r="H457"/>
  <c r="H471"/>
  <c r="H477"/>
  <c r="H538"/>
  <c r="F12"/>
  <c r="H47"/>
  <c r="H96"/>
  <c r="H112"/>
  <c r="H136"/>
  <c r="H182"/>
  <c r="H199"/>
  <c r="H264"/>
  <c r="H486"/>
  <c r="F334"/>
  <c r="F333"/>
  <c r="F297"/>
  <c r="H297"/>
  <c r="F290"/>
  <c r="F280"/>
  <c r="F89"/>
  <c r="F23"/>
  <c r="H23"/>
  <c r="F20"/>
  <c r="H20"/>
  <c r="F17"/>
  <c r="H17"/>
  <c r="F241"/>
  <c r="H241"/>
  <c r="F232"/>
  <c r="H232"/>
  <c r="F483"/>
  <c r="F487"/>
  <c r="H487"/>
  <c r="F339"/>
  <c r="F130"/>
  <c r="F597"/>
  <c r="H597"/>
  <c r="F62"/>
  <c r="F404"/>
  <c r="F115"/>
  <c r="H115"/>
  <c r="F509"/>
  <c r="H509"/>
  <c r="F416"/>
  <c r="H416"/>
  <c r="G7"/>
  <c r="H7"/>
  <c r="G481"/>
  <c r="F571"/>
  <c r="F50"/>
  <c r="H62"/>
  <c r="F57"/>
  <c r="F127"/>
  <c r="H130"/>
  <c r="H280"/>
  <c r="F254"/>
  <c r="H254"/>
  <c r="F11"/>
  <c r="H11"/>
  <c r="H12"/>
  <c r="F446"/>
  <c r="H446"/>
  <c r="H447"/>
  <c r="H462"/>
  <c r="F461"/>
  <c r="H461"/>
  <c r="H339"/>
  <c r="F338"/>
  <c r="H483"/>
  <c r="F482"/>
  <c r="H89"/>
  <c r="F88"/>
  <c r="F289"/>
  <c r="H289"/>
  <c r="H290"/>
  <c r="G140"/>
  <c r="H140"/>
  <c r="H141"/>
  <c r="H118"/>
  <c r="G87"/>
  <c r="H379"/>
  <c r="F524"/>
  <c r="H525"/>
  <c r="H491"/>
  <c r="F225"/>
  <c r="H358"/>
  <c r="H360"/>
  <c r="F398"/>
  <c r="H398"/>
  <c r="F505"/>
  <c r="H505"/>
  <c r="H333"/>
  <c r="H404"/>
  <c r="F236"/>
  <c r="H236"/>
  <c r="F590"/>
  <c r="H359"/>
  <c r="F49"/>
  <c r="H50"/>
  <c r="G605"/>
  <c r="F555"/>
  <c r="H555"/>
  <c r="H571"/>
  <c r="H590"/>
  <c r="F589"/>
  <c r="H589"/>
  <c r="H524"/>
  <c r="F523"/>
  <c r="H523"/>
  <c r="H127"/>
  <c r="F126"/>
  <c r="H126"/>
  <c r="F490"/>
  <c r="H490"/>
  <c r="F224"/>
  <c r="H225"/>
  <c r="F87"/>
  <c r="H87"/>
  <c r="H88"/>
  <c r="F481"/>
  <c r="H481"/>
  <c r="H482"/>
  <c r="F337"/>
  <c r="H337"/>
  <c r="H338"/>
  <c r="F56"/>
  <c r="H56"/>
  <c r="H57"/>
  <c r="F378"/>
  <c r="H49"/>
  <c r="F377"/>
  <c r="H377"/>
  <c r="H378"/>
  <c r="F223"/>
  <c r="H224"/>
  <c r="H223"/>
  <c r="F605"/>
  <c r="H605"/>
</calcChain>
</file>

<file path=xl/sharedStrings.xml><?xml version="1.0" encoding="utf-8"?>
<sst xmlns="http://schemas.openxmlformats.org/spreadsheetml/2006/main" count="2014" uniqueCount="656">
  <si>
    <t xml:space="preserve">        Организация освещения улиц</t>
  </si>
  <si>
    <t>1800310450</t>
  </si>
  <si>
    <t xml:space="preserve">  Муниципальная программа "Молодежь Мурома" на 2016-2018 годы</t>
  </si>
  <si>
    <t>1900000000</t>
  </si>
  <si>
    <t xml:space="preserve">    Подпрограмма "Развитие потенциала молодежи"</t>
  </si>
  <si>
    <t>1910000000</t>
  </si>
  <si>
    <t xml:space="preserve">      Основное мероприятие "Создание условий для успешной социализации и эффективной самореализации молодежи"</t>
  </si>
  <si>
    <t>1910100000</t>
  </si>
  <si>
    <t xml:space="preserve">        Организация и осуществление мероприятий по работе с детьми и молодежью</t>
  </si>
  <si>
    <t>1910110240</t>
  </si>
  <si>
    <t xml:space="preserve">        Персональные стипендии администрации округа им.А.В. 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</si>
  <si>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 xml:space="preserve">    Непрограммные расходы</t>
  </si>
  <si>
    <t>9990000000</t>
  </si>
  <si>
    <t xml:space="preserve">      Основное мероприятие "Организация предоставления дополнительного образования детей в МБОУДОД ЦРТДЮ "Орленок"</t>
  </si>
  <si>
    <t xml:space="preserve">  Муниципальная программа управления муниципальными финансами и муниципальным долгом округа Муром на 2016-2018 годы</t>
  </si>
  <si>
    <t>1910120150</t>
  </si>
  <si>
    <t>1910200000</t>
  </si>
  <si>
    <t>1910200110</t>
  </si>
  <si>
    <t>1910200190</t>
  </si>
  <si>
    <t>19102ЦБ590</t>
  </si>
  <si>
    <t xml:space="preserve">    Подпрограмма "Совершенствование и развитие дополнительного образования детей в МБОУДОД ЦРТДЮ "Орленок"</t>
  </si>
  <si>
    <t>1920000000</t>
  </si>
  <si>
    <t>1920100000</t>
  </si>
  <si>
    <t>1920110120</t>
  </si>
  <si>
    <t>1920170460</t>
  </si>
  <si>
    <t xml:space="preserve">        Укрепление материально-технической базы  учреждений сферы молодежной политики, учреждений дополнительного образования, туристических объединений, творческих центров, спортивных секций, учреждений детского досуга, муниципальных библиотек</t>
  </si>
  <si>
    <t>1920171290</t>
  </si>
  <si>
    <t xml:space="preserve">        Укрепление материально-технической базы  клубов по месту жительства в сфере молодежной политики</t>
  </si>
  <si>
    <t>19201S1290</t>
  </si>
  <si>
    <t xml:space="preserve">        Расходы на обеспечение деятельности (оказание услуг) учреждений по внешкольной работе с детьми</t>
  </si>
  <si>
    <t>19201УВ590</t>
  </si>
  <si>
    <t xml:space="preserve">  Муниципальная программа "Развитие физической культуры и спорта в округе Муром на 2016-2018 годы"</t>
  </si>
  <si>
    <t>2000000000</t>
  </si>
  <si>
    <t xml:space="preserve">      Основное мероприятие "Организация предоставления дополнительного образования в сфере физической культуры и спорта"</t>
  </si>
  <si>
    <t>2000100000</t>
  </si>
  <si>
    <t xml:space="preserve">        Мероприятия по обеспечению доступа инвалидов к спортивным объектам и услугам</t>
  </si>
  <si>
    <t>2000110250</t>
  </si>
  <si>
    <t xml:space="preserve">        Организация профилактических мероприятий по безнадзорности и правонарушениям среди детей и подростков</t>
  </si>
  <si>
    <t>2000110260</t>
  </si>
  <si>
    <t>2000170460</t>
  </si>
  <si>
    <t>20001УВ590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</si>
  <si>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</si>
  <si>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Основное мероприятие "Обеспечение условий для развития на территории округа физической культуры и массового спорта, организация проведения официальных физкультурно-оздоровительных и спортивных мероприятий округа"</t>
  </si>
  <si>
    <t>2000200000</t>
  </si>
  <si>
    <t>2000210120</t>
  </si>
  <si>
    <t xml:space="preserve">        Реализация календарного плана физкультурно-оздоровительных и спортивных мероприятий округа Муром</t>
  </si>
  <si>
    <t>2000210270</t>
  </si>
  <si>
    <t xml:space="preserve">      Основное мероприятие "Строительство и реконструкция спортивных объектов"</t>
  </si>
  <si>
    <t>2000300000</t>
  </si>
  <si>
    <t xml:space="preserve">        Строительство объектов спортивной направленности</t>
  </si>
  <si>
    <t>20003R4950</t>
  </si>
  <si>
    <t xml:space="preserve">      Основное мероприятие "Создание условий для развития футбола в округе Муром"</t>
  </si>
  <si>
    <t>2000400000</t>
  </si>
  <si>
    <t xml:space="preserve">        Организация спортивной подготовки по футболу</t>
  </si>
  <si>
    <t>2000410280</t>
  </si>
  <si>
    <t>2000460060</t>
  </si>
  <si>
    <t>2000500000</t>
  </si>
  <si>
    <t>2000500110</t>
  </si>
  <si>
    <t>2000500190</t>
  </si>
  <si>
    <t xml:space="preserve">        Ежемесячные денежные выплаты заслуженным работникам физической культуры и спорта</t>
  </si>
  <si>
    <t>2000520010</t>
  </si>
  <si>
    <t>20005ЦБ590</t>
  </si>
  <si>
    <t xml:space="preserve">  Непрограммные расходы органов местного самоуправления</t>
  </si>
  <si>
    <t>9900000000</t>
  </si>
  <si>
    <t>9990000110</t>
  </si>
  <si>
    <t>9990000190</t>
  </si>
  <si>
    <t xml:space="preserve">        Резервирование средств на исполнение судебных актов</t>
  </si>
  <si>
    <t>9990010030</t>
  </si>
  <si>
    <t xml:space="preserve">        Расходы на выплаты по оплате труда депутатам Совета народных депутатов</t>
  </si>
  <si>
    <t xml:space="preserve">        Предоставление субсидий социально ориентированным некоммерческим организациям на реализацию социальных проектов</t>
  </si>
  <si>
    <t>99900Д0110</t>
  </si>
  <si>
    <t xml:space="preserve">        Расходы на выплаты по оплате труда председателю Совета народных депутатов</t>
  </si>
  <si>
    <t>99900П0110</t>
  </si>
  <si>
    <t>Всего расходов:</t>
  </si>
  <si>
    <t>Наименование</t>
  </si>
  <si>
    <t>Целевая статья</t>
  </si>
  <si>
    <t>Вид расходов</t>
  </si>
  <si>
    <t>Раздел</t>
  </si>
  <si>
    <t>План на 2016 год</t>
  </si>
  <si>
    <t>Основное мероприятие "Территориальное планирование"</t>
  </si>
  <si>
    <t>Муниципальная инвестиционная программа округа Муром на 2016-2018 годы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</si>
  <si>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</si>
  <si>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Подраз-дел</t>
  </si>
  <si>
    <t>0100000000</t>
  </si>
  <si>
    <t>0100100000</t>
  </si>
  <si>
    <t xml:space="preserve">        Строительство (реконструкция) объектов муниципальной собственности округа</t>
  </si>
  <si>
    <t>0100140010</t>
  </si>
  <si>
    <t xml:space="preserve">          Капитальные вложения в объекты государственной (муниципальной) собственности</t>
  </si>
  <si>
    <t>400</t>
  </si>
  <si>
    <t>04</t>
  </si>
  <si>
    <t>12</t>
  </si>
  <si>
    <t>05</t>
  </si>
  <si>
    <t>02</t>
  </si>
  <si>
    <t xml:space="preserve">  Муниципальная программа "Модернизация объектов коммунальной инфраструктуры округа Муром на 2016-2018 годы"</t>
  </si>
  <si>
    <t>0200000000</t>
  </si>
  <si>
    <t xml:space="preserve">      Основное мероприятие "Строительство, реконструкция и техническое перевооружение объектов водоснабжения"</t>
  </si>
  <si>
    <t>0200100000</t>
  </si>
  <si>
    <t>0200140010</t>
  </si>
  <si>
    <t xml:space="preserve">      Основное мероприятие "Строительство, реконструкция и техническое перевооружение объектов теплоснабжения"</t>
  </si>
  <si>
    <t>0200200000</t>
  </si>
  <si>
    <t>0200240010</t>
  </si>
  <si>
    <t xml:space="preserve">      Основное мероприятие "Разработка комплексных схем инженерного обеспечения округа Муром"</t>
  </si>
  <si>
    <t>0200300000</t>
  </si>
  <si>
    <t xml:space="preserve">        Актуализация схем теплоснабжения, водоснабжения и водоотведения</t>
  </si>
  <si>
    <t>0200310350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</si>
  <si>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</si>
  <si>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</si>
  <si>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Основное мероприятие "Строительство, реконструкция и техническое перевооружение объектов водоотведения"</t>
  </si>
  <si>
    <t>0200400000</t>
  </si>
  <si>
    <t>0200440010</t>
  </si>
  <si>
    <t xml:space="preserve">  Муниципальная программа "Реконструкция и капитальный ремонт общего имущества многоквартирных домов в округе Муром на 2016-2018 годы"</t>
  </si>
  <si>
    <t>0300000000</t>
  </si>
  <si>
    <t xml:space="preserve">      Основное мероприятие "Исполнение обязательств округа по финансовому обеспечению капитального ремонта многоквартирных домов"</t>
  </si>
  <si>
    <t>0300100000</t>
  </si>
  <si>
    <t xml:space="preserve">        Взносы в региональный фонд капитального ремонта</t>
  </si>
  <si>
    <t>0300110170</t>
  </si>
  <si>
    <t>01</t>
  </si>
  <si>
    <t xml:space="preserve">        Обеспечение софинансирования мероприятий по капитальному ремонту многоквартирных домов</t>
  </si>
  <si>
    <t>0300160050</t>
  </si>
  <si>
    <t xml:space="preserve">          Предоставление субсидий бюджетным, автономным учреждениям и иным некоммерческим организациям
</t>
  </si>
  <si>
    <t>600</t>
  </si>
  <si>
    <t xml:space="preserve">  Муниципальная программа по приведению в нормативное состояние автомобильных дорог общего пользования местного значения в округе Муром на 2016-2018 годы</t>
  </si>
  <si>
    <t>0400000000</t>
  </si>
  <si>
    <t xml:space="preserve">      Основное мероприятие "Обеспечение надлежащего состояния автомобильных дорог округа Муром"</t>
  </si>
  <si>
    <t>0400100000</t>
  </si>
  <si>
    <t xml:space="preserve">        Ремонт автомобильных дорог общего пользования</t>
  </si>
  <si>
    <t>0400110310</t>
  </si>
  <si>
    <t>09</t>
  </si>
  <si>
    <t xml:space="preserve">        Содержание улично-дорожной сети</t>
  </si>
  <si>
    <t>0400110320</t>
  </si>
  <si>
    <t xml:space="preserve">      Основное мероприятие "Обеспечение надлежащего состояния светофорных объектов и дорожных знаков"</t>
  </si>
  <si>
    <t>0400200000</t>
  </si>
  <si>
    <t xml:space="preserve">        Ремонт и техническое обслуживание светофорных объектов</t>
  </si>
  <si>
    <t>0400210330</t>
  </si>
  <si>
    <t xml:space="preserve">        Техническое обслуживание дорожных знаков</t>
  </si>
  <si>
    <t>0400210340</t>
  </si>
  <si>
    <t xml:space="preserve">  Муниципальная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2018 года"</t>
  </si>
  <si>
    <t>0500000000</t>
  </si>
  <si>
    <t xml:space="preserve">      Основное мероприятие "Обеспечение мер социальной поддержки многодетных семей"</t>
  </si>
  <si>
    <t>0500100000</t>
  </si>
  <si>
    <t xml:space="preserve">       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</si>
  <si>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05001S0050</t>
  </si>
  <si>
    <t xml:space="preserve">  Муниципальная программа по обеспечению безопасности дорожного движения и транспортного обслуживания населения на территории округа Муром на 2016-2018 годы</t>
  </si>
  <si>
    <t>0600000000</t>
  </si>
  <si>
    <t xml:space="preserve">      Основное мероприятие "Совершенствование организации движения транспорта и пешеходов на территории округа"</t>
  </si>
  <si>
    <t>0600100000</t>
  </si>
  <si>
    <t xml:space="preserve">        Нанесение дорожной разметки</t>
  </si>
  <si>
    <t>0600110370</t>
  </si>
  <si>
    <t xml:space="preserve">        Оборудование уличного освещения на улицах округа</t>
  </si>
  <si>
    <t>0600110380</t>
  </si>
  <si>
    <t xml:space="preserve">        Замена и установка дорожных знаков и указателей</t>
  </si>
  <si>
    <t>0600110390</t>
  </si>
  <si>
    <t xml:space="preserve">        Приобретение спецоборудования для оказания помощи при дорожно-транспортных проиcшествиях</t>
  </si>
  <si>
    <t>0600110400</t>
  </si>
  <si>
    <t>03</t>
  </si>
  <si>
    <t xml:space="preserve">        Ремонт путепровода в створе ул. Л.Толстого</t>
  </si>
  <si>
    <t>0600110410</t>
  </si>
  <si>
    <t xml:space="preserve">      Основное мероприятие "Обеспечение доступности общественного транспорта для различных категорий граждан на территории округа"</t>
  </si>
  <si>
    <t>0600200000</t>
  </si>
  <si>
    <t xml:space="preserve">        Обеспечение равной доступности услуг общественного транспорта на территории округа Муром для отдельных категорий граждан</t>
  </si>
  <si>
    <t>0600220040</t>
  </si>
  <si>
    <t xml:space="preserve">          Социальное обеспечение и иные выплаты населению</t>
  </si>
  <si>
    <t>300</t>
  </si>
  <si>
    <t>10</t>
  </si>
  <si>
    <t xml:space="preserve">        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</si>
  <si>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0600220050</t>
  </si>
  <si>
    <t xml:space="preserve">        Возмещение потерь в доходах организаций железнодорожного транспорта от реализации билетов, связанных с сезонным снижением тарифов</t>
  </si>
  <si>
    <t>0600260010</t>
  </si>
  <si>
    <t xml:space="preserve">          Иные бюджетные ассигнования</t>
  </si>
  <si>
    <t>800</t>
  </si>
  <si>
    <t>08</t>
  </si>
  <si>
    <t xml:space="preserve">        Возмещение потерь в доходах организаций автомобильного транспорта от реализации билетов, связанных с сезонным снижением тарифов</t>
  </si>
  <si>
    <t>0600260020</t>
  </si>
  <si>
    <t xml:space="preserve">        Обеспечение равной доступности услуг общественного транспорта для отдельных категорий граждан в муниципальном сообщении</t>
  </si>
  <si>
    <t>0600270150</t>
  </si>
  <si>
    <t xml:space="preserve">        Софинансирование мероприятий по обеспечению равной доступности услуг общественного транспорта для отдельных категорий граждан в муниципальном сообщении</t>
  </si>
  <si>
    <t>06002S0150</t>
  </si>
  <si>
    <t xml:space="preserve">  Муниципальная программа "Обеспечение комфортным жильем населения округа Муром в  2016-2018 годах"</t>
  </si>
  <si>
    <t>0700000000</t>
  </si>
  <si>
    <t xml:space="preserve">    Подпрограмма "Переселение граждан из аварийного жилищного фонда"</t>
  </si>
  <si>
    <t>0710000000</t>
  </si>
  <si>
    <t xml:space="preserve">      Основное мероприятие "Обеспечение мероприятий по сносу расселенных многоквартирных домов, признанных аварийными и подлежащими сносу, и разбору (демонтажу) жилых домов, признанных непригодными для проживания"</t>
  </si>
  <si>
    <t>0710100000</t>
  </si>
  <si>
    <t xml:space="preserve">        Снос домов, признанных аварийными и подлежащими сносу, и разбор (демонтаж) жилых домов, признанных непригодными для проживания</t>
  </si>
  <si>
    <t>0710110180</t>
  </si>
  <si>
    <t xml:space="preserve">      Основное мероприятие "Создание условий для реализации муниципальной программы"</t>
  </si>
  <si>
    <t>0710200000</t>
  </si>
  <si>
    <t xml:space="preserve">        Расходы на выплаты по оплате труда работников органов местного самоуправления</t>
  </si>
  <si>
    <t>0710200110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</si>
  <si>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
внебюджетными фондами
</t>
  </si>
  <si>
    <t>100</t>
  </si>
  <si>
    <t xml:space="preserve">        Расходы на обеспечение функций органов местного самоуправления</t>
  </si>
  <si>
    <t>0710200190</t>
  </si>
  <si>
    <t xml:space="preserve">        Расходы на обеспечение деятельности муниципального казенного учреждения "Муниципальный жилищный фонд"</t>
  </si>
  <si>
    <t>07102ЖФ590</t>
  </si>
  <si>
    <t xml:space="preserve">      Основное мероприятие "Оплата расходов на коммунальные услуги и содержание незаселенных жилых помещений муниципального жилищного фонда округа Муром"</t>
  </si>
  <si>
    <t>0710300000</t>
  </si>
  <si>
    <t xml:space="preserve">        Расходы на коммунальные услуги и содержание незаселенных жилых помещений муниципального жилищного фонда округа Муром</t>
  </si>
  <si>
    <t>0710310360</t>
  </si>
  <si>
    <t xml:space="preserve">    Подпрограмма "Обеспечение жильем молодых семей округа Муром"</t>
  </si>
  <si>
    <t>0720000000</t>
  </si>
  <si>
    <t xml:space="preserve">      Основное мероприятие "Обеспечение мер социальной поддержки по улучшению жилищных условий молодых семей"</t>
  </si>
  <si>
    <t>0720100000</t>
  </si>
  <si>
    <t xml:space="preserve">        Предоставление социальных выплат молодым семьям на приобретение (строительство) жилья</t>
  </si>
  <si>
    <t>07201L0200</t>
  </si>
  <si>
    <t xml:space="preserve">    Подпрограмма "Обеспечение жильем отдельных категорий граждан, установленных законодательством, на территории муниципального образования округ Муром"</t>
  </si>
  <si>
    <t>0730000000</t>
  </si>
  <si>
    <t xml:space="preserve">      Основное мероприятие "Обеспечение жильем ветеранов, инвалидов и семей, имеющих детей-инвалидов"</t>
  </si>
  <si>
    <t>0730100000</t>
  </si>
  <si>
    <t xml:space="preserve">       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</si>
  <si>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0730151350</t>
  </si>
  <si>
    <t xml:space="preserve">      Основное мероприятие "Обеспечение дополнительных гарантий прав на имущество и жилое помещение детей-сирот и детей, оставшихся без попечения родителей"</t>
  </si>
  <si>
    <t>0730300000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</si>
  <si>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</si>
  <si>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0730350820</t>
  </si>
  <si>
    <t>07303R0820</t>
  </si>
  <si>
    <t xml:space="preserve">    Подпрограмма "Обеспечение жильем многодетных семей округа Муром"</t>
  </si>
  <si>
    <t>0750000000</t>
  </si>
  <si>
    <t xml:space="preserve">      Основное мероприятие "Оказание мер социальной поддержки многодетным семьям"</t>
  </si>
  <si>
    <t>0750100000</t>
  </si>
  <si>
    <t xml:space="preserve">        Предоставление социальных выплат многодетным семьям на строительство жилья</t>
  </si>
  <si>
    <t>07501S0810</t>
  </si>
  <si>
    <t xml:space="preserve">  Муниципальная программа "Совершенствование управления муниципальной собственностью муниципального образования округ Муром на 2016-2018 годы"</t>
  </si>
  <si>
    <t>0800000000</t>
  </si>
  <si>
    <t xml:space="preserve">      Основное мероприятие "Оценка недвижимости, признание прав и регулирование отношений по государственной и муниципальной собственности"</t>
  </si>
  <si>
    <t>0800100000</t>
  </si>
  <si>
    <t xml:space="preserve">        Проведение работ по инвентаризации объектов недвижимости казны округа Муром</t>
  </si>
  <si>
    <t>0800110070</t>
  </si>
  <si>
    <t>13</t>
  </si>
  <si>
    <t xml:space="preserve">        Выполнение межевых работ</t>
  </si>
  <si>
    <t>0800110080</t>
  </si>
  <si>
    <t xml:space="preserve">        Оценка рыночной стоимости арендной платы и муниципального имущества</t>
  </si>
  <si>
    <t>0800110090</t>
  </si>
  <si>
    <t xml:space="preserve">      Основное мероприятие "Содержание объектов муниципальной собственности"</t>
  </si>
  <si>
    <t>0800200000</t>
  </si>
  <si>
    <t xml:space="preserve">        Уплата налогов и сборов за объекты муниципальной собственности</t>
  </si>
  <si>
    <t>0800210050</t>
  </si>
  <si>
    <t xml:space="preserve">        Содержание и текущий ремонт общего имущества многоквартирных домов, в которых находятся нежилые помещения, отнесенные к казне округа Муром</t>
  </si>
  <si>
    <t>0800210100</t>
  </si>
  <si>
    <t>0800300000</t>
  </si>
  <si>
    <t>0800300110</t>
  </si>
  <si>
    <t>0800300190</t>
  </si>
  <si>
    <t xml:space="preserve">        Исполнение судебных актов</t>
  </si>
  <si>
    <t>0800310040</t>
  </si>
  <si>
    <t xml:space="preserve">  Муниципальная программа сохранения и развития культуры округа Муром на 2016-2018 годы</t>
  </si>
  <si>
    <t>0900000000</t>
  </si>
  <si>
    <t xml:space="preserve">      Основное мероприятие "Организация предоставления дополнительного образования детей в муниципальных образовательных учреждениях, подведомственных управлению культуры"</t>
  </si>
  <si>
    <t>0900100000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</si>
  <si>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</si>
  <si>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0900170390</t>
  </si>
  <si>
    <t>07</t>
  </si>
  <si>
    <t xml:space="preserve">        Расходы на обеспечение деятельности (оказание услуг)  учреждений по внешкольной работе с детьми</t>
  </si>
  <si>
    <t>09001УВ590</t>
  </si>
  <si>
    <t xml:space="preserve">      Основное мероприятие "Организация библиотечного обслуживания населения, комплектование и обеспечение сохранности библиотечных фондов библиотек округа"</t>
  </si>
  <si>
    <t>0900200000</t>
  </si>
  <si>
    <t xml:space="preserve">        Комплектование книжных фондов библиотек муниципальных образований</t>
  </si>
  <si>
    <t>0900251440</t>
  </si>
  <si>
    <t xml:space="preserve">       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</si>
  <si>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0900251460</t>
  </si>
  <si>
    <t xml:space="preserve">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</si>
  <si>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0900270230</t>
  </si>
  <si>
    <t>0900270390</t>
  </si>
  <si>
    <t xml:space="preserve">        Расходы на обеспечение  деятельности (оказание услуг) библиотек</t>
  </si>
  <si>
    <t>09002УБ590</t>
  </si>
  <si>
    <t xml:space="preserve">      Основное мероприятие "Создание условий для организации досуга и обеспечения жителей  округа услугами организаций культуры"</t>
  </si>
  <si>
    <t>0900300000</t>
  </si>
  <si>
    <t xml:space="preserve">        Организация и проведение мероприятий по антинаркотической пропаганде</t>
  </si>
  <si>
    <t>0900310120</t>
  </si>
  <si>
    <t>0900370230</t>
  </si>
  <si>
    <t>0900370390</t>
  </si>
  <si>
    <t xml:space="preserve">        Расходы на обеспечение деятельности (оказание услуг) учреждений  в сфере культуры</t>
  </si>
  <si>
    <t>09003УК590</t>
  </si>
  <si>
    <t>0900400000</t>
  </si>
  <si>
    <t>0900400110</t>
  </si>
  <si>
    <t>0900400190</t>
  </si>
  <si>
    <t>0900470230</t>
  </si>
  <si>
    <t xml:space="preserve">        Расходы на обеспечение деятельности централизованных бухгалтерий</t>
  </si>
  <si>
    <t>09004ЦБ590</t>
  </si>
  <si>
    <t xml:space="preserve">  Муниципальная программа округа Муром "Муниципальное управление" на 2016-2018 годы</t>
  </si>
  <si>
    <t>1000000000</t>
  </si>
  <si>
    <t xml:space="preserve">    Подпрограмма "Повышение качества предоставления муниципальных услуг, исполнения муниципальных функций и переданных государственных полномочий"</t>
  </si>
  <si>
    <t>1010000000</t>
  </si>
  <si>
    <t xml:space="preserve">      Основное мероприятие "Решение вопросов местного значения"</t>
  </si>
  <si>
    <t>1010100000</t>
  </si>
  <si>
    <t>1010100110</t>
  </si>
  <si>
    <t>1010100190</t>
  </si>
  <si>
    <t xml:space="preserve">        Расходы на выплаты по оплате труда Главы муниципального образования</t>
  </si>
  <si>
    <t>10101Г0110</t>
  </si>
  <si>
    <t xml:space="preserve">      Основное мероприятие "Реализация отдельных переданных государственных полномочий в соответствии с обязательными для исполнения нормативными правовыми актами"</t>
  </si>
  <si>
    <t>1010200000</t>
  </si>
  <si>
    <t xml:space="preserve">       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</si>
  <si>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</si>
  <si>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1010251200</t>
  </si>
  <si>
    <t xml:space="preserve">        Мероприятия по проведению Всероссийской сельскохозяйственной переписи в 2016 году</t>
  </si>
  <si>
    <t>1010253910</t>
  </si>
  <si>
    <t xml:space="preserve">        Осуществление полномочий Российской Федерации по государственной регистрации актов гражданского состояния</t>
  </si>
  <si>
    <t>1010259300</t>
  </si>
  <si>
    <t xml:space="preserve">        Обеспечение деятельности комиссий по делам несовершеннолетних и защите их прав</t>
  </si>
  <si>
    <t>1010270010</t>
  </si>
  <si>
    <t xml:space="preserve">        Реализация отдельных государственных полномочий по вопросам административного законодательства</t>
  </si>
  <si>
    <t>1010270020</t>
  </si>
  <si>
    <t>10102R0551</t>
  </si>
  <si>
    <t xml:space="preserve">    Подпрограмма "Обеспечение условий для осуществления деятельности Администрации округа Муром. Информатизация органов местного самоуправления"</t>
  </si>
  <si>
    <t>1020000000</t>
  </si>
  <si>
    <t xml:space="preserve">      Основное мероприятие "Материально-техническое обеспечение реализации муниципальной программы"</t>
  </si>
  <si>
    <t>1020100000</t>
  </si>
  <si>
    <t xml:space="preserve">        Расходы на обеспечение деятельности муниципального казенного учреждения "Управление административными зданиями и транспортом"</t>
  </si>
  <si>
    <t>10201УТ590</t>
  </si>
  <si>
    <t>10201ЦБ590</t>
  </si>
  <si>
    <t xml:space="preserve">      Основное мероприятие "Информационное обеспечение, техническое оснащение и обслуживание рабочих мест сотрудников"</t>
  </si>
  <si>
    <t>1020200000</t>
  </si>
  <si>
    <t xml:space="preserve">        Автоматизация и информатизация рабочих мест работников органов местного самоуправления и подведомственных учреждений</t>
  </si>
  <si>
    <t>1020210140</t>
  </si>
  <si>
    <t xml:space="preserve">        Техническое обслуживание автоматизированного рабочего места муниципального служащего</t>
  </si>
  <si>
    <t>1020210150</t>
  </si>
  <si>
    <t>1020300000</t>
  </si>
  <si>
    <t xml:space="preserve">        Расходы на обеспечение деятельности казенных учреждений, подведомственных администрации округа</t>
  </si>
  <si>
    <t>102030А590</t>
  </si>
  <si>
    <t xml:space="preserve">        Проведение государственных праздников и дат</t>
  </si>
  <si>
    <t>1020310020</t>
  </si>
  <si>
    <t xml:space="preserve">        Реализация решения Совета народных депутатов от 25.09.2012 № 252 "Об утверждении Положения о выплате денежной компенсации членам домовых и уличных комитетов в новой редакции"</t>
  </si>
  <si>
    <t>1020320060</t>
  </si>
  <si>
    <t xml:space="preserve">      Основное мероприятие "Создание условий для деятельности народных дружин"</t>
  </si>
  <si>
    <t>1020400000</t>
  </si>
  <si>
    <t xml:space="preserve">        Поощрение членов добровольной народной дружины</t>
  </si>
  <si>
    <t>1020420140</t>
  </si>
  <si>
    <t>14</t>
  </si>
  <si>
    <t xml:space="preserve">    Подпрограмма "Освещение вопросов деятельности Администрации округа Муром"</t>
  </si>
  <si>
    <t>1030000000</t>
  </si>
  <si>
    <t>1030100000</t>
  </si>
  <si>
    <t xml:space="preserve">        Расходы на обеспечение деятельности (оказание услуг) муниципального автономного учреждения "Муромский меридиан"</t>
  </si>
  <si>
    <t>10301ММ590</t>
  </si>
  <si>
    <t xml:space="preserve">  Муниципальная программа содействия развитию малого и среднего предпринимательства в округе Муром на 2016-2018 годы</t>
  </si>
  <si>
    <t>1100000000</t>
  </si>
  <si>
    <t xml:space="preserve">      Основное мероприятие "Оказание финансовой поддержки субъектам малого и среднего предпринимательства"</t>
  </si>
  <si>
    <t>1100100000</t>
  </si>
  <si>
    <t xml:space="preserve">        Предоставление грантов начинающим субъектам малого и среднего предпринимательства на создание собственного бизнеса</t>
  </si>
  <si>
    <t>1100160030</t>
  </si>
  <si>
    <t xml:space="preserve">      Основное мероприятие "Развитие инфраструктуры поддержки малого и среднего предпринимательства"</t>
  </si>
  <si>
    <t>1100200000</t>
  </si>
  <si>
    <t xml:space="preserve">        Расходы на обеспечение деятельности (оказания услуг) муниципального бюджетного учреждения "Муромский бизнес-инкубатор"</t>
  </si>
  <si>
    <t>11002БИ590</t>
  </si>
  <si>
    <t xml:space="preserve">  Муниципальная программа "Муниципальная поддержка общественных организаций, гражданских инициатив и оказание социальной помощи населению округа Муром на 2016-2018 годы"</t>
  </si>
  <si>
    <t>1200000000</t>
  </si>
  <si>
    <t xml:space="preserve">      Основное мероприятие "Создание условий для развития социально ориентированных некоммерческих организаций"</t>
  </si>
  <si>
    <t>1200100000</t>
  </si>
  <si>
    <t xml:space="preserve">        Оказание поддержки общественным организациям</t>
  </si>
  <si>
    <t>1200110130</t>
  </si>
  <si>
    <t>06</t>
  </si>
  <si>
    <t>1200160040</t>
  </si>
  <si>
    <t>1200200000</t>
  </si>
  <si>
    <t>120020А590</t>
  </si>
  <si>
    <t xml:space="preserve">      Основное мероприятие "Оказание мер социальной поддержки и социальной помощи отдельным категориям граждан"</t>
  </si>
  <si>
    <t>1200300000</t>
  </si>
  <si>
    <t xml:space="preserve">        Помощь гражданам, оказавшимся в трудной жизненной ситуации</t>
  </si>
  <si>
    <t>1200320030</t>
  </si>
  <si>
    <t xml:space="preserve">        Адресная социальная помощь больным туберкулезом</t>
  </si>
  <si>
    <t>1200320070</t>
  </si>
  <si>
    <t xml:space="preserve">        Материальная помощь родителям детей, больных сахарным диабетом</t>
  </si>
  <si>
    <t>1200320080</t>
  </si>
  <si>
    <t xml:space="preserve">        Организация бесплатного посещения бани малоимущими гражданами</t>
  </si>
  <si>
    <t>1200320090</t>
  </si>
  <si>
    <t xml:space="preserve">        Проведение химической дезинфекции в очагах туберкулеза</t>
  </si>
  <si>
    <t>1200320160</t>
  </si>
  <si>
    <t xml:space="preserve">      Основное мероприятие "Пенсионное обеспечение отдельных категорий граждан"</t>
  </si>
  <si>
    <t>1200400000</t>
  </si>
  <si>
    <t xml:space="preserve">        Доплаты к пенсиям муниципальных служащих</t>
  </si>
  <si>
    <t>1200420020</t>
  </si>
  <si>
    <t xml:space="preserve">      Основное мероприятие "Дополнительная поддержка граждан пожилого возраста"</t>
  </si>
  <si>
    <t>1200500000</t>
  </si>
  <si>
    <t xml:space="preserve">        Выплаты персональных призов гражданам пенсионного возраста "За социальную активность"</t>
  </si>
  <si>
    <t>1200510290</t>
  </si>
  <si>
    <t xml:space="preserve">        Вручение подарков долгожителям округа, достигшим 90, 95, 100 и 105-летия со дня рождения</t>
  </si>
  <si>
    <t>1200510300</t>
  </si>
  <si>
    <t xml:space="preserve">  Муниципальная 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округе Муром на 2016-2018 годы"</t>
  </si>
  <si>
    <t>1300000000</t>
  </si>
  <si>
    <t xml:space="preserve">      Основное мероприятие "Организация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 в соответствии с Федеральным законом от 27.07.2010 № 210-ФЗ"</t>
  </si>
  <si>
    <t>1300100000</t>
  </si>
  <si>
    <t xml:space="preserve">        Расходы на обеспечение деятельности (оказание услуг) многофункционального центра предоставления государственных и муниципальных услуг</t>
  </si>
  <si>
    <t>13001МФ590</t>
  </si>
  <si>
    <t xml:space="preserve">  Муниципальная программа "Защита населения и территории округа Муром от чрезвычайных ситуаций, обеспечение пожарной безопасности и безопасности людей на водных объектах на 2016-2020 годы"</t>
  </si>
  <si>
    <t>1400000000</t>
  </si>
  <si>
    <t xml:space="preserve">    Подпрограмма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2016-2020 годы"</t>
  </si>
  <si>
    <t>1410000000</t>
  </si>
  <si>
    <t xml:space="preserve">      Основное мероприятие "Развитие и совершенствование деятельности муниципального казенного учреждения "Управление по делам гражданской обороны и ликвидации чрезвычайных ситуаций на территории округа Муром"</t>
  </si>
  <si>
    <t>1410100000</t>
  </si>
  <si>
    <t xml:space="preserve">        Расходы на обеспечение деятельности муниципального казенного учреждения "Управление по делам гражданской обороны и ликвидации чрезвычайных ситуаций на территории округа Муром"</t>
  </si>
  <si>
    <t>14101ГО590</t>
  </si>
  <si>
    <t xml:space="preserve">      Основное мероприятие "Развитие и совершенствование технической оснащенности сил и средств для ликвидации чрезвычайных ситуаций"</t>
  </si>
  <si>
    <t>1410200000</t>
  </si>
  <si>
    <t xml:space="preserve">        Обеспечение защиты населения от чрезвычайных ситуаций и снижение рисков их возникновения</t>
  </si>
  <si>
    <t>1410210460</t>
  </si>
  <si>
    <t xml:space="preserve">      Основное мероприятие "Развитие и совершенствование системы подготовки к действиям в чрезвычайных ситуациях"</t>
  </si>
  <si>
    <t>1410300000</t>
  </si>
  <si>
    <t xml:space="preserve">        Развитие и совершенствование методической и материально-технической базы курсов ГО для подготовки руководящего состава и специалистов нештатных аварийно-спасательных формирований, спасателей и населения к действиям в чрезвычайных ситуациях</t>
  </si>
  <si>
    <t>1410310470</t>
  </si>
  <si>
    <t xml:space="preserve">    Подпрограмма "Построение, развитие и эксплуатация аппаратно-программного комплекса технических средств "Безопасный город" на территории округа Муром на 2016-2020 годы"</t>
  </si>
  <si>
    <t>1420000000</t>
  </si>
  <si>
    <t xml:space="preserve">      Основное мероприятие "Организация оптоволоконных и других линий связи и каналов передачи данных"</t>
  </si>
  <si>
    <t>1420100000</t>
  </si>
  <si>
    <t xml:space="preserve">        Обеспечение функционирования АПК "Безопасный город"</t>
  </si>
  <si>
    <t>1420110480</t>
  </si>
  <si>
    <t xml:space="preserve">      Основное мероприятие "Развитие и совершенствование элементов АПК "Безопасный город"</t>
  </si>
  <si>
    <t>1420200000</t>
  </si>
  <si>
    <t xml:space="preserve">        Модернизация и обслуживание элементов АПК "Безопасный город"</t>
  </si>
  <si>
    <t>1420210490</t>
  </si>
  <si>
    <t>1500000000</t>
  </si>
  <si>
    <t xml:space="preserve">    Подпрограмма "Нормативно-методическое обеспечение и организация бюджетного процесса в округе Муром"</t>
  </si>
  <si>
    <t>1510000000</t>
  </si>
  <si>
    <t xml:space="preserve">      Основное мероприятие "Организационно-методическое обеспечение бюджетного процесса в округе Муром, формирование и исполнение бюджета округа"</t>
  </si>
  <si>
    <t>1510100000</t>
  </si>
  <si>
    <t>1510100110</t>
  </si>
  <si>
    <t>1510100190</t>
  </si>
  <si>
    <t xml:space="preserve">      Основное мероприятие "Управление резервом финансовых и материальных ресурсов для ликвидации чрезвычайных ситуаций"</t>
  </si>
  <si>
    <t>1510200000</t>
  </si>
  <si>
    <t xml:space="preserve">        Резерв финансовых и материальных ресурсов для ликвидации чрезвычайных ситуаций</t>
  </si>
  <si>
    <t>1510210010</t>
  </si>
  <si>
    <t>11</t>
  </si>
  <si>
    <t xml:space="preserve">    Подпрограмма "Управление муниципальным долгом округа Муром"</t>
  </si>
  <si>
    <t>1520000000</t>
  </si>
  <si>
    <t xml:space="preserve">      Основное мероприятие "Обеспечение своевременности и полноты исполнения долговых обязательств округа Муром"</t>
  </si>
  <si>
    <t>1520100000</t>
  </si>
  <si>
    <t xml:space="preserve">        Процентные платежи по муниципальному долгу</t>
  </si>
  <si>
    <t>1520110060</t>
  </si>
  <si>
    <t xml:space="preserve">          Обслуживание государственного (муниципального) долга</t>
  </si>
  <si>
    <t>700</t>
  </si>
  <si>
    <t xml:space="preserve">    Подпрограмма "Повышение эффективности бюджетных расходов округа Муром"</t>
  </si>
  <si>
    <t>1530000000</t>
  </si>
  <si>
    <t xml:space="preserve">      Основное мероприятие "Развитие программно-целевых методов планирования и повышение эффективности бюджетных расходов"</t>
  </si>
  <si>
    <t>1530100000</t>
  </si>
  <si>
    <t xml:space="preserve">        Распределение части бюджета принимаемых обязательств между ГРБС в зависимости от оценки качества управления финансами</t>
  </si>
  <si>
    <t>1530110160</t>
  </si>
  <si>
    <t xml:space="preserve">  Муниципальная программа "Развитие образования в округе Муром" на 2016-2018 годы</t>
  </si>
  <si>
    <t>1600000000</t>
  </si>
  <si>
    <t xml:space="preserve">    Подпрограмма "Развитие дошкольного, общего и дополнительного образования детей в округе Муром"</t>
  </si>
  <si>
    <t>1610000000</t>
  </si>
  <si>
    <t xml:space="preserve">      Основное мероприятие "Организация предоставления общедоступного и бесплатного дошкольного образования по основным общеобразовательным программам"</t>
  </si>
  <si>
    <t>1610100000</t>
  </si>
  <si>
    <t xml:space="preserve">        Обеспечение льготного питания воспитанников дошкольных образовательных учреждений</t>
  </si>
  <si>
    <t>1610110190</t>
  </si>
  <si>
    <t xml:space="preserve">        Модернизация дошкольного образования</t>
  </si>
  <si>
    <t>1610110210</t>
  </si>
  <si>
    <t xml:space="preserve">        Выплата денежного поощрения лучшим педагогам дошкольных образовательных учреждений</t>
  </si>
  <si>
    <t>1610120100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</si>
  <si>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</si>
  <si>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>1610170490</t>
  </si>
  <si>
    <t xml:space="preserve">        Социальная поддержка детей-инвалидов дошкольного возраста</t>
  </si>
  <si>
    <t>1610170540</t>
  </si>
  <si>
    <t>1610170560</t>
  </si>
  <si>
    <t xml:space="preserve">        Предоставление компенсации расходов на оплату жилых помещений, отопления и освещения отдельным категориям граждан в сфере образования</t>
  </si>
  <si>
    <t>1610170590</t>
  </si>
  <si>
    <t xml:space="preserve">        Расходы на обеспечение деятельности (оказание услуг) детских дошкольных учреждений</t>
  </si>
  <si>
    <t>16101УД590</t>
  </si>
  <si>
    <t xml:space="preserve">      Основное мероприятие "Организация предоставления общедоступного и бесплатного общего образования по основным общеобразовательным программам"</t>
  </si>
  <si>
    <t>1610200000</t>
  </si>
  <si>
    <t>1610210200</t>
  </si>
  <si>
    <t xml:space="preserve">        Обеспечение льготного питания обучающихся в общеобразовательных учреждениях</t>
  </si>
  <si>
    <t>1610210220</t>
  </si>
  <si>
    <t xml:space="preserve">        Модернизация общеобразовательных учреждений</t>
  </si>
  <si>
    <t>1610210230</t>
  </si>
  <si>
    <t xml:space="preserve">        Поощрение лучших учителей общеобразовательных учреждений</t>
  </si>
  <si>
    <t>1610220110</t>
  </si>
  <si>
    <t xml:space="preserve">        Денежное поощрение учащихся общеобразовательных школ</t>
  </si>
  <si>
    <t>1610220120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</si>
  <si>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</si>
  <si>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1610270470</t>
  </si>
  <si>
    <t xml:space="preserve">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организациях, в частных общеобразовательных организациях по имеющим государственную аккредитацию основным общеобразовательным программам</t>
  </si>
  <si>
    <t>1610270510</t>
  </si>
  <si>
    <t>1610270590</t>
  </si>
  <si>
    <t xml:space="preserve">       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общего образования</t>
  </si>
  <si>
    <t>1610270960</t>
  </si>
  <si>
    <t xml:space="preserve">        Организация питания обучающихся 1-4 классов в общеобразовательных учреждениях</t>
  </si>
  <si>
    <t>16102S0510</t>
  </si>
  <si>
    <t xml:space="preserve">        Расходы на обеспечение деятельности (оказание услуг) общеобразовательных учреждений</t>
  </si>
  <si>
    <t>16102УШ590</t>
  </si>
  <si>
    <t xml:space="preserve">      Основное мероприятие "Организация предоставления дополнительного образования детей"</t>
  </si>
  <si>
    <t>1610300000</t>
  </si>
  <si>
    <t xml:space="preserve">        Поощрение лучших педагогов дополнительного образования</t>
  </si>
  <si>
    <t>1610320130</t>
  </si>
  <si>
    <t xml:space="preserve">        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</t>
  </si>
  <si>
    <t>1610370460</t>
  </si>
  <si>
    <t>16103УВ590</t>
  </si>
  <si>
    <t xml:space="preserve">      Основное мероприятие "Организация отдыха детей в каникулярное время"</t>
  </si>
  <si>
    <t>1610400000</t>
  </si>
  <si>
    <t xml:space="preserve">        Оздоровление детей в каникулярное время</t>
  </si>
  <si>
    <t>1610470500</t>
  </si>
  <si>
    <t xml:space="preserve">        Оздоровление детей в каникулярное время с круглосуточным пребыванием во внешкольных учреждениях</t>
  </si>
  <si>
    <t>16104S050В</t>
  </si>
  <si>
    <t xml:space="preserve">        Приобретение путевок в оздоровительные лагеря детям "группы риска"</t>
  </si>
  <si>
    <t>16104S050Р</t>
  </si>
  <si>
    <t xml:space="preserve">        Оздоровление детей в каникулярное время с дневным пребыванием в общеобразовательных учреждениях</t>
  </si>
  <si>
    <t>16104S050Ш</t>
  </si>
  <si>
    <t xml:space="preserve">    Подпрограмма "Обеспечение защиты прав и интересов детей-сирот и детей, оставшихся без попечения родителей"</t>
  </si>
  <si>
    <t>1620000000</t>
  </si>
  <si>
    <t xml:space="preserve">      Основное мероприятие "Социальная поддержка детей-сирот и детей, оставшихся без попечения родителей"</t>
  </si>
  <si>
    <t>1620100000</t>
  </si>
  <si>
    <t xml:space="preserve">        Содержание ребенка в семье опекуна и приемной семье, а также вознаграждение, причитающееся приемному родителю (вознаграждение, причитающееся приемному родителю)</t>
  </si>
  <si>
    <t>162017065В</t>
  </si>
  <si>
    <t xml:space="preserve">        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</si>
  <si>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>162017065О</t>
  </si>
  <si>
    <t xml:space="preserve">        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</si>
  <si>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>162017065П</t>
  </si>
  <si>
    <t xml:space="preserve">      Основное мероприятие "Участие в осуществлении деятельности по опеке и попечительству"</t>
  </si>
  <si>
    <t>1620200000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</si>
  <si>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</si>
  <si>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1620270070</t>
  </si>
  <si>
    <t xml:space="preserve">    Подпрограмма "Обеспечение реализации муниципальной программы "Развитие образования в округе Муром"</t>
  </si>
  <si>
    <t>1630000000</t>
  </si>
  <si>
    <t>1630100000</t>
  </si>
  <si>
    <t>1630100110</t>
  </si>
  <si>
    <t>1630100190</t>
  </si>
  <si>
    <t>1630170590</t>
  </si>
  <si>
    <t xml:space="preserve">        Расходы на обеспечение деятельности (оказание услуг) муниципального бюджетного учреждения "Межшкольный учебный комбинат"</t>
  </si>
  <si>
    <t>16301МК590</t>
  </si>
  <si>
    <t>16301ЦБ590</t>
  </si>
  <si>
    <t xml:space="preserve">        Расходы на обеспечение деятельности муниципального казенного учреждения "Центр работы с педагогическими кадрами"</t>
  </si>
  <si>
    <t>16301ЦП590</t>
  </si>
  <si>
    <t xml:space="preserve">  Муниципальная программа "Энергосбережение и повышение энергетической эффективности в округе Муром на 2016-2018 годы"</t>
  </si>
  <si>
    <t>1700000000</t>
  </si>
  <si>
    <t xml:space="preserve">      Основное мероприятие "Мероприятия по энергосбережению и повышению энергетической эффективности в области теплоснабжения"</t>
  </si>
  <si>
    <t>1700100000</t>
  </si>
  <si>
    <t xml:space="preserve">        Установка частотных преобразователей на источниках теплоснабжения</t>
  </si>
  <si>
    <t>1700140060</t>
  </si>
  <si>
    <t xml:space="preserve">        Установка приборов учета тепловой энергии на источниках теплоснабжения</t>
  </si>
  <si>
    <t>1700140070</t>
  </si>
  <si>
    <t xml:space="preserve">  Муниципальная программа "Благоустройство территории округа Муром на 2016-2018 годы"</t>
  </si>
  <si>
    <t>1800000000</t>
  </si>
  <si>
    <t>1800100000</t>
  </si>
  <si>
    <t>1800100110</t>
  </si>
  <si>
    <t>1800100190</t>
  </si>
  <si>
    <t>1800110050</t>
  </si>
  <si>
    <t xml:space="preserve">        Расходы на обеспечение деятельности муниципального казенного учреждения "Муромстройзаказчик"</t>
  </si>
  <si>
    <t>18001МС590</t>
  </si>
  <si>
    <t>18001ЦБ590</t>
  </si>
  <si>
    <t xml:space="preserve">      Основное мероприятие "Обеспечение мероприятий по благоустройству и озеленению территории округа"</t>
  </si>
  <si>
    <t>1800200000</t>
  </si>
  <si>
    <t xml:space="preserve">        Расходы на обеспечение деятельности (оказание услуг)  учреждений по благоустройству территории</t>
  </si>
  <si>
    <t>180020Б590</t>
  </si>
  <si>
    <t xml:space="preserve">        Отлов, подбор и утилизация безнадзорных животных</t>
  </si>
  <si>
    <t>1800210420</t>
  </si>
  <si>
    <t xml:space="preserve">        Благоустройство и текущее содержание кладбищ и мемориалов</t>
  </si>
  <si>
    <t>1800210430</t>
  </si>
  <si>
    <t xml:space="preserve">        Обслуживание прочих объектов благоустройства</t>
  </si>
  <si>
    <t>1800210440</t>
  </si>
  <si>
    <t xml:space="preserve">      Основное мероприятие "Техническое обслуживание и энергоснабжение сетей уличного освещения округа"</t>
  </si>
  <si>
    <t>1800300000</t>
  </si>
  <si>
    <t>0730151340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</si>
  <si>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</si>
  <si>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1020310040</t>
  </si>
  <si>
    <t>Исполнение судебных актов</t>
  </si>
  <si>
    <t>0740000000</t>
  </si>
  <si>
    <t>0740100000</t>
  </si>
  <si>
    <t xml:space="preserve">    Подпрограмма "Социальное жилье в округе Муром"</t>
  </si>
  <si>
    <t xml:space="preserve">      Основное мероприятие "Улучшение жилищных условий граждан, признанных нуждающимися в жилых помещениях, предоставляемых по договорам социального найма"</t>
  </si>
  <si>
    <t xml:space="preserve">        Приобретение в собственность муниципального образования округ Муром жилых помещений на первичном рынке жилья</t>
  </si>
  <si>
    <t xml:space="preserve">              Государственная кадастровая оценка земель населенных пунктов, расположенных на территории муниципального образования округ Муром</t>
  </si>
  <si>
    <t xml:space="preserve">                Закупка товаров, работ и услуг для обеспечения государственных (муниципальных) нужд</t>
  </si>
  <si>
    <t>0800110500</t>
  </si>
  <si>
    <t xml:space="preserve">            Основное мероприятие "Переселение граждан из аварийного жилищного фонда"</t>
  </si>
  <si>
    <t xml:space="preserve">  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государственной корпорации - Фонда содействия реформированию жилищно-коммунального хозяйства</t>
  </si>
  <si>
    <t xml:space="preserve">                Капитальные вложения в объекты государственной (муниципальной) собственности</t>
  </si>
  <si>
    <t xml:space="preserve">  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</si>
  <si>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0710400000</t>
  </si>
  <si>
    <t>0710409502</t>
  </si>
  <si>
    <t>0710409602</t>
  </si>
  <si>
    <t xml:space="preserve">            Софинансирование мероприятий по обеспечению территорий документацией для осуществления градостроительной деятельности</t>
  </si>
  <si>
    <t xml:space="preserve">         Обеспечение  градостроительной деятельности</t>
  </si>
  <si>
    <t>1010170080</t>
  </si>
  <si>
    <t>10101S0080</t>
  </si>
  <si>
    <t>1010250551</t>
  </si>
  <si>
    <t xml:space="preserve">            Основное мероприятие "Мероприятия по энергосбережению и повышению энергетической эффективности в области электроснабжения"</t>
  </si>
  <si>
    <t xml:space="preserve">              Приобретение светодиодных светильников для уличного наружного освещения</t>
  </si>
  <si>
    <t>1700200000</t>
  </si>
  <si>
    <t>1700210510</t>
  </si>
  <si>
    <t xml:space="preserve">             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</si>
  <si>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0500170050</t>
  </si>
  <si>
    <t xml:space="preserve">              Приобретение жилых помещений для граждан, нуждающихся в улучшении жилищных условий</t>
  </si>
  <si>
    <t xml:space="preserve">              Строительство социального жилья для граждан, нуждающихся в улучшении жилищных условий</t>
  </si>
  <si>
    <t>074017009П</t>
  </si>
  <si>
    <t>074017009С</t>
  </si>
  <si>
    <t xml:space="preserve">              Обеспечение жильем многодетных семей</t>
  </si>
  <si>
    <t xml:space="preserve">                Социальное обеспечение и иные выплаты населению</t>
  </si>
  <si>
    <t>0750170810</t>
  </si>
  <si>
    <t xml:space="preserve">            Основное мероприятие «Приобретение в муниципальную собственность имущества»</t>
  </si>
  <si>
    <t>0800400000</t>
  </si>
  <si>
    <t xml:space="preserve">           Приобретение в муниципальную собственность округа Муром имущества, расположенного по адресу: Владимирская обл., г.Муром, ул.Стахановская, д.15</t>
  </si>
  <si>
    <t>0800440080</t>
  </si>
  <si>
    <t xml:space="preserve">            Основное мероприятие "Оказание мер социальной поддержки нуждающимся в улучшении жилищных условий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бюджетов"</t>
  </si>
  <si>
    <t xml:space="preserve">           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</si>
  <si>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>0730200000</t>
  </si>
  <si>
    <t>0730270040</t>
  </si>
  <si>
    <t xml:space="preserve">             Мероприятия по обеспечению жильем молодых семей</t>
  </si>
  <si>
    <t>0720150200</t>
  </si>
  <si>
    <t>07201R0200</t>
  </si>
  <si>
    <t xml:space="preserve">        Субсидия автономной некоммерческой организации "Спортивный клуб "Муром"</t>
  </si>
  <si>
    <t xml:space="preserve">              Расходы на обеспечение деятельности (оказание услуг) муниципального автономного учреждения "Муромский меридиан"</t>
  </si>
  <si>
    <t xml:space="preserve">                Предоставление субсидий бюджетным, автономным учреждениям и иным некоммерческим организациям
</t>
  </si>
  <si>
    <t xml:space="preserve">              Строительство социального жилья</t>
  </si>
  <si>
    <t>07401S009П</t>
  </si>
  <si>
    <t>07401S009С</t>
  </si>
  <si>
    <t xml:space="preserve">                Иные бюджетные ассигнования</t>
  </si>
  <si>
    <t xml:space="preserve">             Ремонт прочих объектов благоустройства</t>
  </si>
  <si>
    <t>1800210520</t>
  </si>
  <si>
    <t>0400172460</t>
  </si>
  <si>
    <t xml:space="preserve">            Осуществление дорожной деятельности в отношении автомобильных дорог общего пользования местного значения</t>
  </si>
  <si>
    <t xml:space="preserve">          Основное мероприятие "Выплата компенсации нанимателям жилых помещений муниципального жилищного фонда округа Муром на возмещение расходов по установке индивидуальных приборов учета электрической энергии, водоснабжения, газа"</t>
  </si>
  <si>
    <t xml:space="preserve">        Расходы по выплате компенсации нанимателям жилых помещений муниципального жилищного фонда округа Муром на возмещение расходов по установке индивидуальных приборов учета электрической энергии, водоснабжения, газа</t>
  </si>
  <si>
    <t>0710500000</t>
  </si>
  <si>
    <t>0710520170</t>
  </si>
  <si>
    <t xml:space="preserve">         Закупка товаров, работ и услуг для обеспечения государственных (муниципальных) нужд</t>
  </si>
  <si>
    <t>0600110040</t>
  </si>
  <si>
    <t xml:space="preserve">        Организация и проведение областных конкурсов, праздников, акций и иных мероприятий, направленных на повышение престижа семьи</t>
  </si>
  <si>
    <t>0900371530</t>
  </si>
  <si>
    <t>1800360070</t>
  </si>
  <si>
    <t xml:space="preserve">              Содержание и эксплуатация уличного освещения</t>
  </si>
  <si>
    <t>9990010530</t>
  </si>
  <si>
    <t xml:space="preserve">             Проведение дополнительных выборов депутатов Совета народных депутатов округа Муром</t>
  </si>
  <si>
    <t xml:space="preserve">              Иные бюджетные ассигнования</t>
  </si>
  <si>
    <t xml:space="preserve">        Организация мероприятий, направленных на повышение престижа семьи</t>
  </si>
  <si>
    <t>09003S1530</t>
  </si>
  <si>
    <t xml:space="preserve">       Реализация проектов-победителей конкурсов в сфере молодежной политики</t>
  </si>
  <si>
    <t>1910170630</t>
  </si>
  <si>
    <t>1920170630</t>
  </si>
  <si>
    <t>07104S9602</t>
  </si>
  <si>
    <t xml:space="preserve">             Иные бюджетные ассигнования</t>
  </si>
  <si>
    <t>16102R0880</t>
  </si>
  <si>
    <t xml:space="preserve">              Поощрение лучших учителей - лауреатов областного конкурса</t>
  </si>
  <si>
    <t>1610270520</t>
  </si>
  <si>
    <t xml:space="preserve">         Предоставление субсидий бюджетным, автономным учреждениям и иным некоммерческим организациям
</t>
  </si>
  <si>
    <t xml:space="preserve">             Государственная поддержка муниципальных общеобразовательных организаций, внедряющих инновационные образовательные программы</t>
  </si>
  <si>
    <t>0600140010</t>
  </si>
  <si>
    <t xml:space="preserve">        Поддержка начинающих субъектов малого и среднего предпринимательства - гранты начинающим субъектам малого и среднего предпринимательства, в т.ч. инновационной сферы</t>
  </si>
  <si>
    <t>110015064А</t>
  </si>
  <si>
    <t>0300109601</t>
  </si>
  <si>
    <t xml:space="preserve">        Обеспечение мероприятий по капитальному ремонту многоквартирных домов в рамках  сводного краткосрочного плана  реализации региональной программы капитального ремонта общего имущества в многоквартирных домах на территории Владимирской области на 2016 год</t>
  </si>
  <si>
    <t xml:space="preserve">        Оснащение кабинетов по наркопрофилактике в образовательных учреждениях округа компьютерной техникой, интерактивным оборудованием, мебелью</t>
  </si>
  <si>
    <t>0600110540</t>
  </si>
  <si>
    <t>Приобретение специнструмента, спецсредств, средств связи для своевременного реагирования на ДТП, модернизация системы видеофиксации</t>
  </si>
  <si>
    <t>0710600000</t>
  </si>
  <si>
    <t>0710610550</t>
  </si>
  <si>
    <t>Основное мероприятие "Проведение капитального ремонта жилых помещений муниципального жилищного фонда"</t>
  </si>
  <si>
    <t>Расходы на проведение капитального ремонта жилых помещений муниципального жилищного фонда</t>
  </si>
  <si>
    <t xml:space="preserve">        Обеспечение мероприятий по капитальному ремонту многоквартирных домов </t>
  </si>
  <si>
    <t>03001S9601</t>
  </si>
  <si>
    <t xml:space="preserve">              Строительство наружной сети водоснабжения по Карачаровскому шоссе в г. Муроме за счет гранта муниципальным образованиям, добившимся наилучших значений показателей эффективности деятельности органов местного самоуправления городских округов и муниципальных районов Владимирской области по итогам 2015 года</t>
  </si>
  <si>
    <t>0200170140</t>
  </si>
  <si>
    <t xml:space="preserve">              Поддержка начинающих субъектов малого и среднего предпринимательства - гранты начинающим субъектам малого и среднего предпринимательства, в т.ч. инновационной сферы</t>
  </si>
  <si>
    <t>11001L064А</t>
  </si>
  <si>
    <t>Исполнено за 2016 год</t>
  </si>
  <si>
    <t>% исполне-ния</t>
  </si>
  <si>
    <t xml:space="preserve">                                                                     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</si>
  <si>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</si>
  <si>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                                                                              от____________ № ____</t>
  </si>
  <si>
    <t>Отчет об исполнении распределения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округа Муром за 2016 год</t>
  </si>
  <si>
    <t xml:space="preserve">      Основное мероприятие "Освещение деятельности органов местного самоуправления в средствах массовой информации"</t>
  </si>
  <si>
    <t>тыс. руб.</t>
  </si>
</sst>
</file>

<file path=xl/styles.xml><?xml version="1.0" encoding="utf-8"?>
<styleSheet xmlns="http://schemas.openxmlformats.org/spreadsheetml/2006/main">
  <numFmts count="1">
    <numFmt numFmtId="176" formatCode="#,##0.0"/>
  </numFmts>
  <fonts count="34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71">
    <xf numFmtId="0" fontId="0" fillId="2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9" borderId="0" applyNumberFormat="0" applyBorder="0" applyAlignment="0" applyProtection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20" borderId="0"/>
    <xf numFmtId="0" fontId="16" fillId="0" borderId="0">
      <alignment horizontal="center"/>
    </xf>
    <xf numFmtId="0" fontId="15" fillId="0" borderId="0">
      <alignment horizontal="right"/>
    </xf>
    <xf numFmtId="0" fontId="15" fillId="20" borderId="3"/>
    <xf numFmtId="0" fontId="15" fillId="0" borderId="4">
      <alignment horizontal="center" vertical="center" wrapText="1"/>
    </xf>
    <xf numFmtId="0" fontId="15" fillId="20" borderId="5"/>
    <xf numFmtId="0" fontId="15" fillId="20" borderId="0">
      <alignment shrinkToFit="1"/>
    </xf>
    <xf numFmtId="0" fontId="17" fillId="0" borderId="5">
      <alignment horizontal="right"/>
    </xf>
    <xf numFmtId="4" fontId="17" fillId="21" borderId="5">
      <alignment horizontal="right" vertical="top" shrinkToFit="1"/>
    </xf>
    <xf numFmtId="4" fontId="17" fillId="22" borderId="5">
      <alignment horizontal="right" vertical="top" shrinkToFit="1"/>
    </xf>
    <xf numFmtId="0" fontId="15" fillId="0" borderId="0"/>
    <xf numFmtId="0" fontId="15" fillId="0" borderId="0">
      <alignment horizontal="left" wrapText="1"/>
    </xf>
    <xf numFmtId="0" fontId="17" fillId="0" borderId="4">
      <alignment vertical="top" wrapText="1"/>
    </xf>
    <xf numFmtId="49" fontId="15" fillId="0" borderId="4">
      <alignment horizontal="center" vertical="top" shrinkToFit="1"/>
    </xf>
    <xf numFmtId="4" fontId="17" fillId="21" borderId="4">
      <alignment horizontal="right" vertical="top" shrinkToFit="1"/>
    </xf>
    <xf numFmtId="4" fontId="17" fillId="22" borderId="4">
      <alignment horizontal="right" vertical="top" shrinkToFit="1"/>
    </xf>
    <xf numFmtId="0" fontId="15" fillId="20" borderId="6"/>
    <xf numFmtId="0" fontId="15" fillId="20" borderId="6">
      <alignment horizontal="center"/>
    </xf>
    <xf numFmtId="4" fontId="17" fillId="0" borderId="4">
      <alignment horizontal="right" vertical="top" shrinkToFit="1"/>
    </xf>
    <xf numFmtId="49" fontId="15" fillId="0" borderId="4">
      <alignment vertical="top" wrapText="1"/>
    </xf>
    <xf numFmtId="4" fontId="15" fillId="0" borderId="4">
      <alignment horizontal="right" vertical="top" shrinkToFit="1"/>
    </xf>
    <xf numFmtId="0" fontId="15" fillId="20" borderId="6">
      <alignment shrinkToFit="1"/>
    </xf>
    <xf numFmtId="0" fontId="15" fillId="20" borderId="5">
      <alignment horizontal="center"/>
    </xf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8" fillId="29" borderId="7" applyNumberFormat="0" applyAlignment="0" applyProtection="0"/>
    <xf numFmtId="0" fontId="19" fillId="30" borderId="8" applyNumberFormat="0" applyAlignment="0" applyProtection="0"/>
    <xf numFmtId="0" fontId="20" fillId="30" borderId="7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31" borderId="13" applyNumberFormat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9" fillId="0" borderId="0"/>
    <xf numFmtId="0" fontId="28" fillId="33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34" borderId="14" applyNumberFormat="0" applyFon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35" borderId="0" applyNumberFormat="0" applyBorder="0" applyAlignment="0" applyProtection="0"/>
  </cellStyleXfs>
  <cellXfs count="37">
    <xf numFmtId="0" fontId="1" fillId="2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shrinkToFit="1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shrinkToFit="1"/>
    </xf>
    <xf numFmtId="49" fontId="2" fillId="0" borderId="1" xfId="0" applyNumberFormat="1" applyFont="1" applyFill="1" applyBorder="1" applyAlignment="1">
      <alignment horizontal="center" vertical="top" shrinkToFit="1"/>
    </xf>
    <xf numFmtId="49" fontId="4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33" fillId="0" borderId="4" xfId="36" applyNumberFormat="1" applyFont="1" applyFill="1" applyProtection="1">
      <alignment vertical="top" wrapText="1"/>
    </xf>
    <xf numFmtId="176" fontId="6" fillId="0" borderId="1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</cellXfs>
  <cellStyles count="71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br" xfId="19"/>
    <cellStyle name="col" xfId="20"/>
    <cellStyle name="style0" xfId="21"/>
    <cellStyle name="td" xfId="22"/>
    <cellStyle name="tr" xfId="23"/>
    <cellStyle name="xl21" xfId="24"/>
    <cellStyle name="xl22" xfId="25"/>
    <cellStyle name="xl23" xfId="26"/>
    <cellStyle name="xl24" xfId="27"/>
    <cellStyle name="xl25" xfId="28"/>
    <cellStyle name="xl26" xfId="29"/>
    <cellStyle name="xl27" xfId="30"/>
    <cellStyle name="xl28" xfId="31"/>
    <cellStyle name="xl29" xfId="32"/>
    <cellStyle name="xl30" xfId="33"/>
    <cellStyle name="xl31" xfId="34"/>
    <cellStyle name="xl32" xfId="35"/>
    <cellStyle name="xl33" xfId="36"/>
    <cellStyle name="xl34" xfId="37"/>
    <cellStyle name="xl35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Акцент1" xfId="47" builtinId="29" customBuiltin="1"/>
    <cellStyle name="Акцент2" xfId="48" builtinId="33" customBuiltin="1"/>
    <cellStyle name="Акцент3" xfId="49" builtinId="37" customBuiltin="1"/>
    <cellStyle name="Акцент4" xfId="50" builtinId="41" customBuiltin="1"/>
    <cellStyle name="Акцент5" xfId="51" builtinId="45" customBuiltin="1"/>
    <cellStyle name="Акцент6" xfId="52" builtinId="49" customBuiltin="1"/>
    <cellStyle name="Ввод " xfId="53" builtinId="20" customBuiltin="1"/>
    <cellStyle name="Вывод" xfId="54" builtinId="21" customBuiltin="1"/>
    <cellStyle name="Вычисление" xfId="55" builtinId="22" customBuiltin="1"/>
    <cellStyle name="Заголовок 1" xfId="56" builtinId="16" customBuiltin="1"/>
    <cellStyle name="Заголовок 2" xfId="57" builtinId="17" customBuiltin="1"/>
    <cellStyle name="Заголовок 3" xfId="58" builtinId="18" customBuiltin="1"/>
    <cellStyle name="Заголовок 4" xfId="59" builtinId="19" customBuiltin="1"/>
    <cellStyle name="Итог" xfId="60" builtinId="25" customBuiltin="1"/>
    <cellStyle name="Контрольная ячейка" xfId="61" builtinId="23" customBuiltin="1"/>
    <cellStyle name="Название" xfId="62" builtinId="15" customBuiltin="1"/>
    <cellStyle name="Нейтральный" xfId="63" builtinId="28" customBuiltin="1"/>
    <cellStyle name="Обычный" xfId="0" builtinId="0"/>
    <cellStyle name="Обычный 2" xfId="64"/>
    <cellStyle name="Плохой" xfId="65" builtinId="27" customBuiltin="1"/>
    <cellStyle name="Пояснение" xfId="66" builtinId="53" customBuiltin="1"/>
    <cellStyle name="Примечание" xfId="67" builtinId="10" customBuiltin="1"/>
    <cellStyle name="Связанная ячейка" xfId="68" builtinId="24" customBuiltin="1"/>
    <cellStyle name="Текст предупреждения" xfId="69" builtinId="11" customBuiltin="1"/>
    <cellStyle name="Хороший" xfId="70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5"/>
  <sheetViews>
    <sheetView showGridLines="0" tabSelected="1" workbookViewId="0">
      <pane ySplit="6" topLeftCell="A294" activePane="bottomLeft" state="frozen"/>
      <selection pane="bottomLeft" activeCell="A347" sqref="A347"/>
    </sheetView>
  </sheetViews>
  <sheetFormatPr defaultColWidth="9.109375" defaultRowHeight="15.6" outlineLevelRow="5"/>
  <cols>
    <col min="1" max="1" width="57.6640625" style="7" customWidth="1"/>
    <col min="2" max="2" width="11.44140625" style="2" customWidth="1"/>
    <col min="3" max="3" width="9.44140625" style="2" customWidth="1"/>
    <col min="4" max="4" width="7.109375" style="2" customWidth="1"/>
    <col min="5" max="5" width="8.5546875" style="2" customWidth="1"/>
    <col min="6" max="6" width="13.6640625" style="2" customWidth="1"/>
    <col min="7" max="7" width="13.6640625" style="3" customWidth="1"/>
    <col min="8" max="16384" width="9.109375" style="3"/>
  </cols>
  <sheetData>
    <row r="1" spans="1:8">
      <c r="A1" s="34" t="s">
        <v>650</v>
      </c>
      <c r="B1" s="34"/>
      <c r="C1" s="34"/>
      <c r="D1" s="34"/>
      <c r="E1" s="34"/>
      <c r="F1" s="34"/>
      <c r="G1" s="34"/>
      <c r="H1" s="34"/>
    </row>
    <row r="2" spans="1:8">
      <c r="A2" s="34" t="s">
        <v>651</v>
      </c>
      <c r="B2" s="34"/>
      <c r="C2" s="34"/>
      <c r="D2" s="34"/>
      <c r="E2" s="34"/>
      <c r="F2" s="34"/>
      <c r="G2" s="34"/>
      <c r="H2" s="34"/>
    </row>
    <row r="3" spans="1:8">
      <c r="A3" s="34" t="s">
        <v>652</v>
      </c>
      <c r="B3" s="34"/>
      <c r="C3" s="34"/>
      <c r="D3" s="34"/>
      <c r="E3" s="34"/>
      <c r="F3" s="34"/>
      <c r="G3" s="34"/>
      <c r="H3" s="34"/>
    </row>
    <row r="4" spans="1:8" ht="50.4" customHeight="1">
      <c r="A4" s="35" t="s">
        <v>653</v>
      </c>
      <c r="B4" s="35"/>
      <c r="C4" s="35"/>
      <c r="D4" s="35"/>
      <c r="E4" s="35"/>
      <c r="F4" s="35"/>
      <c r="G4" s="36"/>
      <c r="H4" s="36"/>
    </row>
    <row r="5" spans="1:8" ht="14.4" customHeight="1">
      <c r="A5" s="31"/>
      <c r="B5" s="31"/>
      <c r="C5" s="31"/>
      <c r="D5" s="31"/>
      <c r="E5" s="31"/>
      <c r="F5" s="31"/>
      <c r="G5" s="32"/>
      <c r="H5" s="33" t="s">
        <v>655</v>
      </c>
    </row>
    <row r="6" spans="1:8" ht="46.8">
      <c r="A6" s="1" t="s">
        <v>74</v>
      </c>
      <c r="B6" s="1" t="s">
        <v>75</v>
      </c>
      <c r="C6" s="1" t="s">
        <v>76</v>
      </c>
      <c r="D6" s="1" t="s">
        <v>77</v>
      </c>
      <c r="E6" s="1" t="s">
        <v>82</v>
      </c>
      <c r="F6" s="1" t="s">
        <v>78</v>
      </c>
      <c r="G6" s="27" t="s">
        <v>648</v>
      </c>
      <c r="H6" s="27" t="s">
        <v>649</v>
      </c>
    </row>
    <row r="7" spans="1:8" ht="31.2">
      <c r="A7" s="9" t="s">
        <v>80</v>
      </c>
      <c r="B7" s="10" t="s">
        <v>83</v>
      </c>
      <c r="C7" s="10"/>
      <c r="D7" s="10"/>
      <c r="E7" s="10"/>
      <c r="F7" s="23">
        <f t="shared" ref="F7:G9" si="0">F8</f>
        <v>500</v>
      </c>
      <c r="G7" s="23">
        <f t="shared" si="0"/>
        <v>492.8</v>
      </c>
      <c r="H7" s="29">
        <f>G7/F7*100</f>
        <v>98.56</v>
      </c>
    </row>
    <row r="8" spans="1:8" outlineLevel="2">
      <c r="A8" s="11" t="s">
        <v>79</v>
      </c>
      <c r="B8" s="12" t="s">
        <v>84</v>
      </c>
      <c r="C8" s="12"/>
      <c r="D8" s="12"/>
      <c r="E8" s="12"/>
      <c r="F8" s="22">
        <f t="shared" si="0"/>
        <v>500</v>
      </c>
      <c r="G8" s="22">
        <f t="shared" si="0"/>
        <v>492.8</v>
      </c>
      <c r="H8" s="28">
        <f>G8/F8*100</f>
        <v>98.56</v>
      </c>
    </row>
    <row r="9" spans="1:8" ht="31.2" outlineLevel="3">
      <c r="A9" s="11" t="s">
        <v>85</v>
      </c>
      <c r="B9" s="12" t="s">
        <v>86</v>
      </c>
      <c r="C9" s="12"/>
      <c r="D9" s="12"/>
      <c r="E9" s="12"/>
      <c r="F9" s="22">
        <f t="shared" si="0"/>
        <v>500</v>
      </c>
      <c r="G9" s="22">
        <f t="shared" si="0"/>
        <v>492.8</v>
      </c>
      <c r="H9" s="28">
        <f>G9/F9*100</f>
        <v>98.56</v>
      </c>
    </row>
    <row r="10" spans="1:8" ht="31.2" outlineLevel="4">
      <c r="A10" s="11" t="s">
        <v>87</v>
      </c>
      <c r="B10" s="12" t="s">
        <v>86</v>
      </c>
      <c r="C10" s="12" t="s">
        <v>88</v>
      </c>
      <c r="D10" s="12" t="s">
        <v>89</v>
      </c>
      <c r="E10" s="12" t="s">
        <v>90</v>
      </c>
      <c r="F10" s="22">
        <v>500</v>
      </c>
      <c r="G10" s="28">
        <v>492.8</v>
      </c>
      <c r="H10" s="28">
        <f>G10/F10*100</f>
        <v>98.56</v>
      </c>
    </row>
    <row r="11" spans="1:8" ht="46.8">
      <c r="A11" s="9" t="s">
        <v>93</v>
      </c>
      <c r="B11" s="10" t="s">
        <v>94</v>
      </c>
      <c r="C11" s="10"/>
      <c r="D11" s="10"/>
      <c r="E11" s="10"/>
      <c r="F11" s="23">
        <f>F12+F17+F20+F23</f>
        <v>17491.010000000002</v>
      </c>
      <c r="G11" s="23">
        <f>G12+G17+G20+G23</f>
        <v>14813.431639999999</v>
      </c>
      <c r="H11" s="29">
        <f t="shared" ref="H11:H74" si="1">G11/F11*100</f>
        <v>84.691688130073658</v>
      </c>
    </row>
    <row r="12" spans="1:8" ht="46.8" outlineLevel="2">
      <c r="A12" s="11" t="s">
        <v>95</v>
      </c>
      <c r="B12" s="12" t="s">
        <v>96</v>
      </c>
      <c r="C12" s="12"/>
      <c r="D12" s="12"/>
      <c r="E12" s="12"/>
      <c r="F12" s="22">
        <f>F13+F15</f>
        <v>9233</v>
      </c>
      <c r="G12" s="22">
        <f>G13+G15</f>
        <v>8463.5449599999993</v>
      </c>
      <c r="H12" s="28">
        <f t="shared" si="1"/>
        <v>91.666251055994792</v>
      </c>
    </row>
    <row r="13" spans="1:8" ht="31.2" outlineLevel="3">
      <c r="A13" s="11" t="s">
        <v>85</v>
      </c>
      <c r="B13" s="12" t="s">
        <v>97</v>
      </c>
      <c r="C13" s="12"/>
      <c r="D13" s="12"/>
      <c r="E13" s="12"/>
      <c r="F13" s="22">
        <f>F14</f>
        <v>7233</v>
      </c>
      <c r="G13" s="22">
        <f>G14</f>
        <v>6463.5449600000002</v>
      </c>
      <c r="H13" s="28">
        <f t="shared" si="1"/>
        <v>89.361882483063738</v>
      </c>
    </row>
    <row r="14" spans="1:8" ht="31.2" outlineLevel="4">
      <c r="A14" s="11" t="s">
        <v>87</v>
      </c>
      <c r="B14" s="12" t="s">
        <v>97</v>
      </c>
      <c r="C14" s="12" t="s">
        <v>88</v>
      </c>
      <c r="D14" s="12" t="s">
        <v>91</v>
      </c>
      <c r="E14" s="12" t="s">
        <v>92</v>
      </c>
      <c r="F14" s="22">
        <f>210+9300-210-2000-67</f>
        <v>7233</v>
      </c>
      <c r="G14" s="28">
        <v>6463.5449600000002</v>
      </c>
      <c r="H14" s="28">
        <f t="shared" si="1"/>
        <v>89.361882483063738</v>
      </c>
    </row>
    <row r="15" spans="1:8" ht="109.2" outlineLevel="4">
      <c r="A15" s="19" t="s">
        <v>644</v>
      </c>
      <c r="B15" s="12" t="s">
        <v>645</v>
      </c>
      <c r="C15" s="12"/>
      <c r="D15" s="12"/>
      <c r="E15" s="12"/>
      <c r="F15" s="22">
        <f>F16</f>
        <v>2000</v>
      </c>
      <c r="G15" s="22">
        <f>G16</f>
        <v>2000</v>
      </c>
      <c r="H15" s="28">
        <f t="shared" si="1"/>
        <v>100</v>
      </c>
    </row>
    <row r="16" spans="1:8" ht="31.2" outlineLevel="4">
      <c r="A16" s="19" t="s">
        <v>560</v>
      </c>
      <c r="B16" s="12" t="s">
        <v>645</v>
      </c>
      <c r="C16" s="12" t="s">
        <v>88</v>
      </c>
      <c r="D16" s="12" t="s">
        <v>91</v>
      </c>
      <c r="E16" s="12" t="s">
        <v>92</v>
      </c>
      <c r="F16" s="22">
        <v>2000</v>
      </c>
      <c r="G16" s="28">
        <v>2000</v>
      </c>
      <c r="H16" s="28">
        <f t="shared" si="1"/>
        <v>100</v>
      </c>
    </row>
    <row r="17" spans="1:8" ht="46.8" outlineLevel="2">
      <c r="A17" s="11" t="s">
        <v>98</v>
      </c>
      <c r="B17" s="12" t="s">
        <v>99</v>
      </c>
      <c r="C17" s="12"/>
      <c r="D17" s="12"/>
      <c r="E17" s="12"/>
      <c r="F17" s="22">
        <f>F18</f>
        <v>5615.2000000000007</v>
      </c>
      <c r="G17" s="22">
        <f>G18</f>
        <v>3707.2714000000001</v>
      </c>
      <c r="H17" s="28">
        <f t="shared" si="1"/>
        <v>66.022072232511746</v>
      </c>
    </row>
    <row r="18" spans="1:8" ht="31.2" outlineLevel="3">
      <c r="A18" s="11" t="s">
        <v>85</v>
      </c>
      <c r="B18" s="12" t="s">
        <v>100</v>
      </c>
      <c r="C18" s="12"/>
      <c r="D18" s="12"/>
      <c r="E18" s="12"/>
      <c r="F18" s="22">
        <f>F19</f>
        <v>5615.2000000000007</v>
      </c>
      <c r="G18" s="22">
        <f>G19</f>
        <v>3707.2714000000001</v>
      </c>
      <c r="H18" s="28">
        <f t="shared" si="1"/>
        <v>66.022072232511746</v>
      </c>
    </row>
    <row r="19" spans="1:8" ht="31.2" outlineLevel="4">
      <c r="A19" s="11" t="s">
        <v>87</v>
      </c>
      <c r="B19" s="12" t="s">
        <v>100</v>
      </c>
      <c r="C19" s="12" t="s">
        <v>88</v>
      </c>
      <c r="D19" s="12" t="s">
        <v>91</v>
      </c>
      <c r="E19" s="12" t="s">
        <v>92</v>
      </c>
      <c r="F19" s="22">
        <f>50+5400+198.6-33.4</f>
        <v>5615.2000000000007</v>
      </c>
      <c r="G19" s="28">
        <v>3707.2714000000001</v>
      </c>
      <c r="H19" s="28">
        <f t="shared" si="1"/>
        <v>66.022072232511746</v>
      </c>
    </row>
    <row r="20" spans="1:8" ht="31.2" outlineLevel="2">
      <c r="A20" s="11" t="s">
        <v>101</v>
      </c>
      <c r="B20" s="12" t="s">
        <v>102</v>
      </c>
      <c r="C20" s="12"/>
      <c r="D20" s="12"/>
      <c r="E20" s="12"/>
      <c r="F20" s="22">
        <f>F21</f>
        <v>75.81</v>
      </c>
      <c r="G20" s="22">
        <f>G21</f>
        <v>75.81</v>
      </c>
      <c r="H20" s="28">
        <f t="shared" si="1"/>
        <v>100</v>
      </c>
    </row>
    <row r="21" spans="1:8" ht="31.2" outlineLevel="3">
      <c r="A21" s="11" t="s">
        <v>103</v>
      </c>
      <c r="B21" s="12" t="s">
        <v>104</v>
      </c>
      <c r="C21" s="12"/>
      <c r="D21" s="12"/>
      <c r="E21" s="12"/>
      <c r="F21" s="22">
        <f>F22</f>
        <v>75.81</v>
      </c>
      <c r="G21" s="22">
        <f>G22</f>
        <v>75.81</v>
      </c>
      <c r="H21" s="28">
        <f t="shared" si="1"/>
        <v>100</v>
      </c>
    </row>
    <row r="22" spans="1:8" ht="31.2" outlineLevel="4">
      <c r="A22" s="11" t="s">
        <v>105</v>
      </c>
      <c r="B22" s="12" t="s">
        <v>104</v>
      </c>
      <c r="C22" s="12" t="s">
        <v>106</v>
      </c>
      <c r="D22" s="12" t="s">
        <v>89</v>
      </c>
      <c r="E22" s="12" t="s">
        <v>90</v>
      </c>
      <c r="F22" s="22">
        <v>75.81</v>
      </c>
      <c r="G22" s="22">
        <v>75.81</v>
      </c>
      <c r="H22" s="28">
        <f t="shared" si="1"/>
        <v>100</v>
      </c>
    </row>
    <row r="23" spans="1:8" ht="46.8" outlineLevel="2">
      <c r="A23" s="11" t="s">
        <v>107</v>
      </c>
      <c r="B23" s="12" t="s">
        <v>108</v>
      </c>
      <c r="C23" s="12"/>
      <c r="D23" s="12"/>
      <c r="E23" s="12"/>
      <c r="F23" s="22">
        <f>F24</f>
        <v>2567</v>
      </c>
      <c r="G23" s="22">
        <f>G24</f>
        <v>2566.80528</v>
      </c>
      <c r="H23" s="28">
        <f t="shared" si="1"/>
        <v>99.992414491624473</v>
      </c>
    </row>
    <row r="24" spans="1:8" ht="31.2" outlineLevel="3">
      <c r="A24" s="11" t="s">
        <v>85</v>
      </c>
      <c r="B24" s="12" t="s">
        <v>109</v>
      </c>
      <c r="C24" s="12"/>
      <c r="D24" s="12"/>
      <c r="E24" s="12"/>
      <c r="F24" s="22">
        <f>F25</f>
        <v>2567</v>
      </c>
      <c r="G24" s="22">
        <f>G25</f>
        <v>2566.80528</v>
      </c>
      <c r="H24" s="28">
        <f t="shared" si="1"/>
        <v>99.992414491624473</v>
      </c>
    </row>
    <row r="25" spans="1:8" ht="31.2" outlineLevel="4">
      <c r="A25" s="11" t="s">
        <v>87</v>
      </c>
      <c r="B25" s="12" t="s">
        <v>109</v>
      </c>
      <c r="C25" s="12" t="s">
        <v>88</v>
      </c>
      <c r="D25" s="12" t="s">
        <v>91</v>
      </c>
      <c r="E25" s="12" t="s">
        <v>92</v>
      </c>
      <c r="F25" s="22">
        <f>2500+67</f>
        <v>2567</v>
      </c>
      <c r="G25" s="28">
        <v>2566.80528</v>
      </c>
      <c r="H25" s="28">
        <f t="shared" si="1"/>
        <v>99.992414491624473</v>
      </c>
    </row>
    <row r="26" spans="1:8" ht="62.4">
      <c r="A26" s="9" t="s">
        <v>110</v>
      </c>
      <c r="B26" s="10" t="s">
        <v>111</v>
      </c>
      <c r="C26" s="10"/>
      <c r="D26" s="10"/>
      <c r="E26" s="10"/>
      <c r="F26" s="23">
        <f>F27</f>
        <v>18504.303070000002</v>
      </c>
      <c r="G26" s="23">
        <f>G27</f>
        <v>18218.324120000001</v>
      </c>
      <c r="H26" s="29">
        <f t="shared" si="1"/>
        <v>98.454527312278827</v>
      </c>
    </row>
    <row r="27" spans="1:8" ht="46.8" outlineLevel="2">
      <c r="A27" s="11" t="s">
        <v>112</v>
      </c>
      <c r="B27" s="12" t="s">
        <v>113</v>
      </c>
      <c r="C27" s="12"/>
      <c r="D27" s="12"/>
      <c r="E27" s="12"/>
      <c r="F27" s="22">
        <f>F30+F32+F28+F34</f>
        <v>18504.303070000002</v>
      </c>
      <c r="G27" s="22">
        <f>G30+G32+G28+G34</f>
        <v>18218.324120000001</v>
      </c>
      <c r="H27" s="28">
        <f t="shared" si="1"/>
        <v>98.454527312278827</v>
      </c>
    </row>
    <row r="28" spans="1:8" ht="93.6" outlineLevel="2">
      <c r="A28" s="11" t="s">
        <v>634</v>
      </c>
      <c r="B28" s="12" t="s">
        <v>633</v>
      </c>
      <c r="C28" s="12"/>
      <c r="D28" s="12"/>
      <c r="E28" s="12"/>
      <c r="F28" s="22">
        <f>F29</f>
        <v>31.183070000000001</v>
      </c>
      <c r="G28" s="22">
        <f>G29</f>
        <v>31.183070000000001</v>
      </c>
      <c r="H28" s="28">
        <f t="shared" si="1"/>
        <v>100</v>
      </c>
    </row>
    <row r="29" spans="1:8" ht="62.4" outlineLevel="2">
      <c r="A29" s="11" t="s">
        <v>119</v>
      </c>
      <c r="B29" s="12" t="s">
        <v>633</v>
      </c>
      <c r="C29" s="12" t="s">
        <v>120</v>
      </c>
      <c r="D29" s="12" t="s">
        <v>91</v>
      </c>
      <c r="E29" s="12" t="s">
        <v>116</v>
      </c>
      <c r="F29" s="22">
        <v>31.183070000000001</v>
      </c>
      <c r="G29" s="22">
        <v>31.183070000000001</v>
      </c>
      <c r="H29" s="28">
        <f t="shared" si="1"/>
        <v>100</v>
      </c>
    </row>
    <row r="30" spans="1:8" outlineLevel="3">
      <c r="A30" s="11" t="s">
        <v>114</v>
      </c>
      <c r="B30" s="12" t="s">
        <v>115</v>
      </c>
      <c r="C30" s="12"/>
      <c r="D30" s="12"/>
      <c r="E30" s="12"/>
      <c r="F30" s="22">
        <f>F31</f>
        <v>14023.61</v>
      </c>
      <c r="G30" s="22">
        <f>G31</f>
        <v>13741.124019999999</v>
      </c>
      <c r="H30" s="28">
        <f t="shared" si="1"/>
        <v>97.985640074132121</v>
      </c>
    </row>
    <row r="31" spans="1:8" ht="31.2" outlineLevel="4">
      <c r="A31" s="11" t="s">
        <v>105</v>
      </c>
      <c r="B31" s="12" t="s">
        <v>115</v>
      </c>
      <c r="C31" s="12" t="s">
        <v>106</v>
      </c>
      <c r="D31" s="12" t="s">
        <v>91</v>
      </c>
      <c r="E31" s="12" t="s">
        <v>116</v>
      </c>
      <c r="F31" s="22">
        <f>15100-1876.39-5000+6900-1100</f>
        <v>14023.61</v>
      </c>
      <c r="G31" s="28">
        <v>13741.124019999999</v>
      </c>
      <c r="H31" s="28">
        <f t="shared" si="1"/>
        <v>97.985640074132121</v>
      </c>
    </row>
    <row r="32" spans="1:8" ht="31.2" outlineLevel="3">
      <c r="A32" s="11" t="s">
        <v>117</v>
      </c>
      <c r="B32" s="12" t="s">
        <v>118</v>
      </c>
      <c r="C32" s="12"/>
      <c r="D32" s="12"/>
      <c r="E32" s="12"/>
      <c r="F32" s="22">
        <f>F33</f>
        <v>4410.3955400000004</v>
      </c>
      <c r="G32" s="22">
        <f>G33</f>
        <v>4406.9025700000002</v>
      </c>
      <c r="H32" s="28">
        <f t="shared" si="1"/>
        <v>99.920801434512597</v>
      </c>
    </row>
    <row r="33" spans="1:8" ht="62.4" outlineLevel="4">
      <c r="A33" s="11" t="s">
        <v>119</v>
      </c>
      <c r="B33" s="12" t="s">
        <v>118</v>
      </c>
      <c r="C33" s="12" t="s">
        <v>120</v>
      </c>
      <c r="D33" s="12" t="s">
        <v>91</v>
      </c>
      <c r="E33" s="12" t="s">
        <v>116</v>
      </c>
      <c r="F33" s="22">
        <f>4449.51-39.11446</f>
        <v>4410.3955400000004</v>
      </c>
      <c r="G33" s="28">
        <v>4406.9025700000002</v>
      </c>
      <c r="H33" s="28">
        <f t="shared" si="1"/>
        <v>99.920801434512597</v>
      </c>
    </row>
    <row r="34" spans="1:8" ht="31.2" outlineLevel="4">
      <c r="A34" s="11" t="s">
        <v>642</v>
      </c>
      <c r="B34" s="12" t="s">
        <v>643</v>
      </c>
      <c r="C34" s="12"/>
      <c r="D34" s="12"/>
      <c r="E34" s="12"/>
      <c r="F34" s="22">
        <f>F35</f>
        <v>39.114460000000001</v>
      </c>
      <c r="G34" s="22">
        <f>G35</f>
        <v>39.114460000000001</v>
      </c>
      <c r="H34" s="28">
        <f t="shared" si="1"/>
        <v>100</v>
      </c>
    </row>
    <row r="35" spans="1:8" ht="62.4" outlineLevel="4">
      <c r="A35" s="11" t="s">
        <v>119</v>
      </c>
      <c r="B35" s="12" t="s">
        <v>643</v>
      </c>
      <c r="C35" s="12" t="s">
        <v>120</v>
      </c>
      <c r="D35" s="12" t="s">
        <v>91</v>
      </c>
      <c r="E35" s="12" t="s">
        <v>116</v>
      </c>
      <c r="F35" s="22">
        <v>39.114460000000001</v>
      </c>
      <c r="G35" s="22">
        <v>39.114460000000001</v>
      </c>
      <c r="H35" s="28">
        <f t="shared" si="1"/>
        <v>100</v>
      </c>
    </row>
    <row r="36" spans="1:8" ht="62.4">
      <c r="A36" s="9" t="s">
        <v>121</v>
      </c>
      <c r="B36" s="10" t="s">
        <v>122</v>
      </c>
      <c r="C36" s="10"/>
      <c r="D36" s="10"/>
      <c r="E36" s="10"/>
      <c r="F36" s="23">
        <f>F37+F44</f>
        <v>188872.32299999997</v>
      </c>
      <c r="G36" s="23">
        <f>G37+G44</f>
        <v>187402.55233999999</v>
      </c>
      <c r="H36" s="29">
        <f t="shared" si="1"/>
        <v>99.221817873230705</v>
      </c>
    </row>
    <row r="37" spans="1:8" ht="31.2" outlineLevel="2">
      <c r="A37" s="11" t="s">
        <v>123</v>
      </c>
      <c r="B37" s="12" t="s">
        <v>124</v>
      </c>
      <c r="C37" s="12"/>
      <c r="D37" s="12"/>
      <c r="E37" s="12"/>
      <c r="F37" s="22">
        <f>F38+F40+F42</f>
        <v>186203.44299999997</v>
      </c>
      <c r="G37" s="22">
        <f>G38+G40+G42</f>
        <v>184733.69834</v>
      </c>
      <c r="H37" s="28">
        <f t="shared" si="1"/>
        <v>99.210678043155212</v>
      </c>
    </row>
    <row r="38" spans="1:8" outlineLevel="3">
      <c r="A38" s="11" t="s">
        <v>125</v>
      </c>
      <c r="B38" s="12" t="s">
        <v>126</v>
      </c>
      <c r="C38" s="12"/>
      <c r="D38" s="12"/>
      <c r="E38" s="12"/>
      <c r="F38" s="22">
        <f>F39</f>
        <v>73113.293999999994</v>
      </c>
      <c r="G38" s="22">
        <f>G39</f>
        <v>71643.571330000006</v>
      </c>
      <c r="H38" s="28">
        <f t="shared" si="1"/>
        <v>97.989801047672685</v>
      </c>
    </row>
    <row r="39" spans="1:8" ht="31.2" outlineLevel="4">
      <c r="A39" s="11" t="s">
        <v>105</v>
      </c>
      <c r="B39" s="12" t="s">
        <v>126</v>
      </c>
      <c r="C39" s="12" t="s">
        <v>106</v>
      </c>
      <c r="D39" s="12" t="s">
        <v>89</v>
      </c>
      <c r="E39" s="12" t="s">
        <v>127</v>
      </c>
      <c r="F39" s="22">
        <f>10000-7337.5+77000-230.206-6319</f>
        <v>73113.293999999994</v>
      </c>
      <c r="G39" s="28">
        <v>71643.571330000006</v>
      </c>
      <c r="H39" s="28">
        <f t="shared" si="1"/>
        <v>97.989801047672685</v>
      </c>
    </row>
    <row r="40" spans="1:8" outlineLevel="3">
      <c r="A40" s="11" t="s">
        <v>128</v>
      </c>
      <c r="B40" s="12" t="s">
        <v>129</v>
      </c>
      <c r="C40" s="12"/>
      <c r="D40" s="12"/>
      <c r="E40" s="12"/>
      <c r="F40" s="22">
        <f>F41</f>
        <v>86480.14899999999</v>
      </c>
      <c r="G40" s="22">
        <f>G41</f>
        <v>86480.127009999997</v>
      </c>
      <c r="H40" s="28">
        <f t="shared" si="1"/>
        <v>99.999974572199221</v>
      </c>
    </row>
    <row r="41" spans="1:8" ht="31.2" outlineLevel="4">
      <c r="A41" s="11" t="s">
        <v>105</v>
      </c>
      <c r="B41" s="12" t="s">
        <v>129</v>
      </c>
      <c r="C41" s="12" t="s">
        <v>106</v>
      </c>
      <c r="D41" s="12" t="s">
        <v>89</v>
      </c>
      <c r="E41" s="12" t="s">
        <v>127</v>
      </c>
      <c r="F41" s="22">
        <f>59070+8913.36+277.84+5000+7000-100.051+6319</f>
        <v>86480.14899999999</v>
      </c>
      <c r="G41" s="22">
        <v>86480.127009999997</v>
      </c>
      <c r="H41" s="28">
        <f t="shared" si="1"/>
        <v>99.999974572199221</v>
      </c>
    </row>
    <row r="42" spans="1:8" ht="46.8" outlineLevel="4">
      <c r="A42" s="19" t="s">
        <v>604</v>
      </c>
      <c r="B42" s="12" t="s">
        <v>603</v>
      </c>
      <c r="C42" s="12"/>
      <c r="D42" s="12"/>
      <c r="E42" s="12"/>
      <c r="F42" s="22">
        <f>F43</f>
        <v>26610</v>
      </c>
      <c r="G42" s="22">
        <f>G43</f>
        <v>26610</v>
      </c>
      <c r="H42" s="28">
        <f t="shared" si="1"/>
        <v>100</v>
      </c>
    </row>
    <row r="43" spans="1:8" ht="31.2" outlineLevel="4">
      <c r="A43" s="11" t="s">
        <v>105</v>
      </c>
      <c r="B43" s="12" t="s">
        <v>603</v>
      </c>
      <c r="C43" s="12" t="s">
        <v>106</v>
      </c>
      <c r="D43" s="12" t="s">
        <v>89</v>
      </c>
      <c r="E43" s="12" t="s">
        <v>127</v>
      </c>
      <c r="F43" s="22">
        <f>16610+10000</f>
        <v>26610</v>
      </c>
      <c r="G43" s="22">
        <f>16610+10000</f>
        <v>26610</v>
      </c>
      <c r="H43" s="28">
        <f t="shared" si="1"/>
        <v>100</v>
      </c>
    </row>
    <row r="44" spans="1:8" ht="31.2" outlineLevel="2">
      <c r="A44" s="11" t="s">
        <v>130</v>
      </c>
      <c r="B44" s="12" t="s">
        <v>131</v>
      </c>
      <c r="C44" s="12"/>
      <c r="D44" s="12"/>
      <c r="E44" s="12"/>
      <c r="F44" s="22">
        <f>F45+F47</f>
        <v>2668.88</v>
      </c>
      <c r="G44" s="22">
        <f>G45+G47</f>
        <v>2668.8540000000003</v>
      </c>
      <c r="H44" s="28">
        <f t="shared" si="1"/>
        <v>99.999025808578892</v>
      </c>
    </row>
    <row r="45" spans="1:8" ht="31.2" outlineLevel="3">
      <c r="A45" s="11" t="s">
        <v>132</v>
      </c>
      <c r="B45" s="12" t="s">
        <v>133</v>
      </c>
      <c r="C45" s="12"/>
      <c r="D45" s="12"/>
      <c r="E45" s="12"/>
      <c r="F45" s="22">
        <f>F46</f>
        <v>2610</v>
      </c>
      <c r="G45" s="22">
        <f>G46</f>
        <v>2609.9740000000002</v>
      </c>
      <c r="H45" s="28">
        <f t="shared" si="1"/>
        <v>99.999003831417639</v>
      </c>
    </row>
    <row r="46" spans="1:8" ht="31.2" outlineLevel="4">
      <c r="A46" s="11" t="s">
        <v>105</v>
      </c>
      <c r="B46" s="12" t="s">
        <v>133</v>
      </c>
      <c r="C46" s="12" t="s">
        <v>106</v>
      </c>
      <c r="D46" s="12" t="s">
        <v>89</v>
      </c>
      <c r="E46" s="12" t="s">
        <v>127</v>
      </c>
      <c r="F46" s="22">
        <v>2610</v>
      </c>
      <c r="G46" s="28">
        <v>2609.9740000000002</v>
      </c>
      <c r="H46" s="28">
        <f t="shared" si="1"/>
        <v>99.999003831417639</v>
      </c>
    </row>
    <row r="47" spans="1:8" outlineLevel="3">
      <c r="A47" s="11" t="s">
        <v>134</v>
      </c>
      <c r="B47" s="12" t="s">
        <v>135</v>
      </c>
      <c r="C47" s="12"/>
      <c r="D47" s="12"/>
      <c r="E47" s="12"/>
      <c r="F47" s="22">
        <f>F48</f>
        <v>58.879999999999995</v>
      </c>
      <c r="G47" s="22">
        <f>G48</f>
        <v>58.88</v>
      </c>
      <c r="H47" s="28">
        <f t="shared" si="1"/>
        <v>100.00000000000003</v>
      </c>
    </row>
    <row r="48" spans="1:8" ht="31.2" outlineLevel="4">
      <c r="A48" s="11" t="s">
        <v>105</v>
      </c>
      <c r="B48" s="12" t="s">
        <v>135</v>
      </c>
      <c r="C48" s="12" t="s">
        <v>106</v>
      </c>
      <c r="D48" s="12" t="s">
        <v>89</v>
      </c>
      <c r="E48" s="12" t="s">
        <v>127</v>
      </c>
      <c r="F48" s="22">
        <f>330-271.12</f>
        <v>58.879999999999995</v>
      </c>
      <c r="G48" s="28">
        <v>58.88</v>
      </c>
      <c r="H48" s="28">
        <f t="shared" si="1"/>
        <v>100.00000000000003</v>
      </c>
    </row>
    <row r="49" spans="1:8" ht="109.2">
      <c r="A49" s="9" t="s">
        <v>136</v>
      </c>
      <c r="B49" s="10" t="s">
        <v>137</v>
      </c>
      <c r="C49" s="10"/>
      <c r="D49" s="10"/>
      <c r="E49" s="10"/>
      <c r="F49" s="23">
        <f>F50</f>
        <v>8916.2089999999989</v>
      </c>
      <c r="G49" s="23">
        <f>G50</f>
        <v>8741.2993100000003</v>
      </c>
      <c r="H49" s="29">
        <f t="shared" si="1"/>
        <v>98.038295311381802</v>
      </c>
    </row>
    <row r="50" spans="1:8" ht="31.2" outlineLevel="2">
      <c r="A50" s="11" t="s">
        <v>138</v>
      </c>
      <c r="B50" s="12" t="s">
        <v>139</v>
      </c>
      <c r="C50" s="12"/>
      <c r="D50" s="12"/>
      <c r="E50" s="12"/>
      <c r="F50" s="22">
        <f>F53+F51</f>
        <v>8916.2089999999989</v>
      </c>
      <c r="G50" s="22">
        <f>G53+G51</f>
        <v>8741.2993100000003</v>
      </c>
      <c r="H50" s="28">
        <f t="shared" si="1"/>
        <v>98.038295311381802</v>
      </c>
    </row>
    <row r="51" spans="1:8" ht="78" outlineLevel="2">
      <c r="A51" s="19" t="s">
        <v>574</v>
      </c>
      <c r="B51" s="20" t="s">
        <v>575</v>
      </c>
      <c r="C51" s="12"/>
      <c r="D51" s="12"/>
      <c r="E51" s="12"/>
      <c r="F51" s="22">
        <f>F52</f>
        <v>5153.62</v>
      </c>
      <c r="G51" s="22">
        <f>G52</f>
        <v>5153.616</v>
      </c>
      <c r="H51" s="28">
        <f t="shared" si="1"/>
        <v>99.9999223846539</v>
      </c>
    </row>
    <row r="52" spans="1:8" ht="31.2" outlineLevel="2">
      <c r="A52" s="19" t="s">
        <v>560</v>
      </c>
      <c r="B52" s="20" t="s">
        <v>575</v>
      </c>
      <c r="C52" s="12" t="s">
        <v>88</v>
      </c>
      <c r="D52" s="12" t="s">
        <v>91</v>
      </c>
      <c r="E52" s="12" t="s">
        <v>92</v>
      </c>
      <c r="F52" s="22">
        <f>6594-1440.38</f>
        <v>5153.62</v>
      </c>
      <c r="G52" s="22">
        <v>5153.616</v>
      </c>
      <c r="H52" s="28">
        <f t="shared" si="1"/>
        <v>99.9999223846539</v>
      </c>
    </row>
    <row r="53" spans="1:8" ht="78" outlineLevel="3">
      <c r="A53" s="11" t="s">
        <v>140</v>
      </c>
      <c r="B53" s="12" t="s">
        <v>141</v>
      </c>
      <c r="C53" s="12"/>
      <c r="D53" s="12"/>
      <c r="E53" s="12"/>
      <c r="F53" s="22">
        <f>F54+F55</f>
        <v>3762.5889999999999</v>
      </c>
      <c r="G53" s="22">
        <f>G54+G55</f>
        <v>3587.6833099999999</v>
      </c>
      <c r="H53" s="28">
        <f t="shared" si="1"/>
        <v>95.351453746343267</v>
      </c>
    </row>
    <row r="54" spans="1:8" ht="31.2" hidden="1" outlineLevel="5">
      <c r="A54" s="11" t="s">
        <v>87</v>
      </c>
      <c r="B54" s="12" t="s">
        <v>141</v>
      </c>
      <c r="C54" s="12" t="s">
        <v>88</v>
      </c>
      <c r="D54" s="12" t="s">
        <v>89</v>
      </c>
      <c r="E54" s="12" t="s">
        <v>127</v>
      </c>
      <c r="F54" s="22">
        <f>350-350</f>
        <v>0</v>
      </c>
      <c r="G54" s="28"/>
      <c r="H54" s="28" t="e">
        <f t="shared" si="1"/>
        <v>#DIV/0!</v>
      </c>
    </row>
    <row r="55" spans="1:8" ht="31.2" outlineLevel="5">
      <c r="A55" s="11" t="s">
        <v>87</v>
      </c>
      <c r="B55" s="12" t="s">
        <v>141</v>
      </c>
      <c r="C55" s="12" t="s">
        <v>88</v>
      </c>
      <c r="D55" s="12" t="s">
        <v>91</v>
      </c>
      <c r="E55" s="12" t="s">
        <v>92</v>
      </c>
      <c r="F55" s="22">
        <f>4650+350-973.035-264.376</f>
        <v>3762.5889999999999</v>
      </c>
      <c r="G55" s="28">
        <v>3587.6833099999999</v>
      </c>
      <c r="H55" s="28">
        <f t="shared" si="1"/>
        <v>95.351453746343267</v>
      </c>
    </row>
    <row r="56" spans="1:8" ht="62.4">
      <c r="A56" s="9" t="s">
        <v>142</v>
      </c>
      <c r="B56" s="10" t="s">
        <v>143</v>
      </c>
      <c r="C56" s="10"/>
      <c r="D56" s="10"/>
      <c r="E56" s="10"/>
      <c r="F56" s="23">
        <f>F57+F74</f>
        <v>26519.67</v>
      </c>
      <c r="G56" s="23">
        <f>G57+G74</f>
        <v>25824.203450000001</v>
      </c>
      <c r="H56" s="29">
        <f t="shared" si="1"/>
        <v>97.377544479248812</v>
      </c>
    </row>
    <row r="57" spans="1:8" ht="46.8" outlineLevel="2">
      <c r="A57" s="11" t="s">
        <v>144</v>
      </c>
      <c r="B57" s="12" t="s">
        <v>145</v>
      </c>
      <c r="C57" s="12"/>
      <c r="D57" s="12"/>
      <c r="E57" s="12"/>
      <c r="F57" s="22">
        <f>F60+F62+F64+F66+F68+F58+F72+F70</f>
        <v>7266.2060000000001</v>
      </c>
      <c r="G57" s="22">
        <f>G60+G62+G64+G66+G68+G58+G72+G70</f>
        <v>7241.3099500000008</v>
      </c>
      <c r="H57" s="28">
        <f t="shared" si="1"/>
        <v>99.657372086615766</v>
      </c>
    </row>
    <row r="58" spans="1:8" outlineLevel="2">
      <c r="A58" s="19" t="s">
        <v>242</v>
      </c>
      <c r="B58" s="20" t="s">
        <v>610</v>
      </c>
      <c r="C58" s="20"/>
      <c r="D58" s="12"/>
      <c r="E58" s="12"/>
      <c r="F58" s="22">
        <f>F59</f>
        <v>300</v>
      </c>
      <c r="G58" s="22">
        <f>G59</f>
        <v>294.52922000000001</v>
      </c>
      <c r="H58" s="28">
        <f t="shared" si="1"/>
        <v>98.176406666666665</v>
      </c>
    </row>
    <row r="59" spans="1:8" ht="31.2" outlineLevel="2">
      <c r="A59" s="19" t="s">
        <v>609</v>
      </c>
      <c r="B59" s="12" t="s">
        <v>610</v>
      </c>
      <c r="C59" s="12" t="s">
        <v>106</v>
      </c>
      <c r="D59" s="12" t="s">
        <v>89</v>
      </c>
      <c r="E59" s="12" t="s">
        <v>127</v>
      </c>
      <c r="F59" s="22">
        <v>300</v>
      </c>
      <c r="G59" s="28">
        <v>294.52922000000001</v>
      </c>
      <c r="H59" s="28">
        <f t="shared" si="1"/>
        <v>98.176406666666665</v>
      </c>
    </row>
    <row r="60" spans="1:8" outlineLevel="3">
      <c r="A60" s="11" t="s">
        <v>146</v>
      </c>
      <c r="B60" s="12" t="s">
        <v>147</v>
      </c>
      <c r="C60" s="12"/>
      <c r="D60" s="12"/>
      <c r="E60" s="12"/>
      <c r="F60" s="22">
        <f>F61</f>
        <v>3868.069</v>
      </c>
      <c r="G60" s="22">
        <f>G61</f>
        <v>3868.0688700000001</v>
      </c>
      <c r="H60" s="28">
        <f t="shared" si="1"/>
        <v>99.999996639149927</v>
      </c>
    </row>
    <row r="61" spans="1:8" ht="31.2" outlineLevel="4">
      <c r="A61" s="11" t="s">
        <v>105</v>
      </c>
      <c r="B61" s="12" t="s">
        <v>147</v>
      </c>
      <c r="C61" s="12" t="s">
        <v>106</v>
      </c>
      <c r="D61" s="12" t="s">
        <v>89</v>
      </c>
      <c r="E61" s="12" t="s">
        <v>127</v>
      </c>
      <c r="F61" s="22">
        <f>4100-231.931</f>
        <v>3868.069</v>
      </c>
      <c r="G61" s="22">
        <v>3868.0688700000001</v>
      </c>
      <c r="H61" s="28">
        <f t="shared" si="1"/>
        <v>99.999996639149927</v>
      </c>
    </row>
    <row r="62" spans="1:8" hidden="1" outlineLevel="3">
      <c r="A62" s="11" t="s">
        <v>148</v>
      </c>
      <c r="B62" s="12" t="s">
        <v>149</v>
      </c>
      <c r="C62" s="12"/>
      <c r="D62" s="12"/>
      <c r="E62" s="12"/>
      <c r="F62" s="22">
        <f>F63</f>
        <v>0</v>
      </c>
      <c r="G62" s="28"/>
      <c r="H62" s="28" t="e">
        <f t="shared" si="1"/>
        <v>#DIV/0!</v>
      </c>
    </row>
    <row r="63" spans="1:8" ht="31.2" hidden="1" outlineLevel="4">
      <c r="A63" s="11" t="s">
        <v>105</v>
      </c>
      <c r="B63" s="12" t="s">
        <v>149</v>
      </c>
      <c r="C63" s="12" t="s">
        <v>106</v>
      </c>
      <c r="D63" s="12" t="s">
        <v>89</v>
      </c>
      <c r="E63" s="12" t="s">
        <v>127</v>
      </c>
      <c r="F63" s="22">
        <f>300+630-930</f>
        <v>0</v>
      </c>
      <c r="G63" s="28"/>
      <c r="H63" s="28" t="e">
        <f t="shared" si="1"/>
        <v>#DIV/0!</v>
      </c>
    </row>
    <row r="64" spans="1:8" outlineLevel="3" collapsed="1">
      <c r="A64" s="11" t="s">
        <v>150</v>
      </c>
      <c r="B64" s="12" t="s">
        <v>151</v>
      </c>
      <c r="C64" s="12"/>
      <c r="D64" s="12"/>
      <c r="E64" s="12"/>
      <c r="F64" s="22">
        <f>F65</f>
        <v>253.59200000000004</v>
      </c>
      <c r="G64" s="22">
        <f>G65</f>
        <v>253.5917</v>
      </c>
      <c r="H64" s="28">
        <f t="shared" si="1"/>
        <v>99.999881699738154</v>
      </c>
    </row>
    <row r="65" spans="1:8" ht="31.2" outlineLevel="4">
      <c r="A65" s="11" t="s">
        <v>105</v>
      </c>
      <c r="B65" s="12" t="s">
        <v>151</v>
      </c>
      <c r="C65" s="12" t="s">
        <v>106</v>
      </c>
      <c r="D65" s="12" t="s">
        <v>89</v>
      </c>
      <c r="E65" s="12" t="s">
        <v>127</v>
      </c>
      <c r="F65" s="22">
        <f>900-193.9-452.508</f>
        <v>253.59200000000004</v>
      </c>
      <c r="G65" s="22">
        <v>253.5917</v>
      </c>
      <c r="H65" s="28">
        <f t="shared" si="1"/>
        <v>99.999881699738154</v>
      </c>
    </row>
    <row r="66" spans="1:8" ht="31.2" outlineLevel="3">
      <c r="A66" s="11" t="s">
        <v>152</v>
      </c>
      <c r="B66" s="12" t="s">
        <v>153</v>
      </c>
      <c r="C66" s="12"/>
      <c r="D66" s="12"/>
      <c r="E66" s="12"/>
      <c r="F66" s="22">
        <f>F67</f>
        <v>67.900000000000006</v>
      </c>
      <c r="G66" s="22">
        <f>G67</f>
        <v>67.900000000000006</v>
      </c>
      <c r="H66" s="28">
        <f t="shared" si="1"/>
        <v>100</v>
      </c>
    </row>
    <row r="67" spans="1:8" ht="31.2" outlineLevel="4">
      <c r="A67" s="11" t="s">
        <v>105</v>
      </c>
      <c r="B67" s="12" t="s">
        <v>153</v>
      </c>
      <c r="C67" s="12" t="s">
        <v>106</v>
      </c>
      <c r="D67" s="12" t="s">
        <v>154</v>
      </c>
      <c r="E67" s="12" t="s">
        <v>127</v>
      </c>
      <c r="F67" s="22">
        <f>200-132.1</f>
        <v>67.900000000000006</v>
      </c>
      <c r="G67" s="22">
        <f>200-132.1</f>
        <v>67.900000000000006</v>
      </c>
      <c r="H67" s="28">
        <f t="shared" si="1"/>
        <v>100</v>
      </c>
    </row>
    <row r="68" spans="1:8" outlineLevel="3">
      <c r="A68" s="11" t="s">
        <v>155</v>
      </c>
      <c r="B68" s="12" t="s">
        <v>156</v>
      </c>
      <c r="C68" s="12"/>
      <c r="D68" s="12"/>
      <c r="E68" s="12"/>
      <c r="F68" s="22">
        <f>F69</f>
        <v>1669.7449999999999</v>
      </c>
      <c r="G68" s="22">
        <f>G69</f>
        <v>1650.32016</v>
      </c>
      <c r="H68" s="28">
        <f t="shared" si="1"/>
        <v>98.836658292134445</v>
      </c>
    </row>
    <row r="69" spans="1:8" ht="31.2" outlineLevel="4">
      <c r="A69" s="11" t="s">
        <v>105</v>
      </c>
      <c r="B69" s="12" t="s">
        <v>156</v>
      </c>
      <c r="C69" s="12" t="s">
        <v>106</v>
      </c>
      <c r="D69" s="12" t="s">
        <v>89</v>
      </c>
      <c r="E69" s="12" t="s">
        <v>127</v>
      </c>
      <c r="F69" s="22">
        <f>4500-300-2530.255</f>
        <v>1669.7449999999999</v>
      </c>
      <c r="G69" s="28">
        <v>1650.32016</v>
      </c>
      <c r="H69" s="28">
        <f t="shared" si="1"/>
        <v>98.836658292134445</v>
      </c>
    </row>
    <row r="70" spans="1:8" ht="46.8" outlineLevel="4">
      <c r="A70" s="19" t="s">
        <v>637</v>
      </c>
      <c r="B70" s="12" t="s">
        <v>636</v>
      </c>
      <c r="C70" s="12"/>
      <c r="D70" s="12"/>
      <c r="E70" s="12"/>
      <c r="F70" s="22">
        <f>F71</f>
        <v>132.1</v>
      </c>
      <c r="G70" s="22">
        <f>G71</f>
        <v>132.1</v>
      </c>
      <c r="H70" s="28">
        <f t="shared" si="1"/>
        <v>100</v>
      </c>
    </row>
    <row r="71" spans="1:8" ht="31.2" outlineLevel="4">
      <c r="A71" s="11" t="s">
        <v>105</v>
      </c>
      <c r="B71" s="12" t="s">
        <v>636</v>
      </c>
      <c r="C71" s="12" t="s">
        <v>106</v>
      </c>
      <c r="D71" s="12" t="s">
        <v>154</v>
      </c>
      <c r="E71" s="12" t="s">
        <v>127</v>
      </c>
      <c r="F71" s="22">
        <v>132.1</v>
      </c>
      <c r="G71" s="22">
        <v>132.1</v>
      </c>
      <c r="H71" s="28">
        <f t="shared" si="1"/>
        <v>100</v>
      </c>
    </row>
    <row r="72" spans="1:8" ht="31.2" outlineLevel="4">
      <c r="A72" s="11" t="s">
        <v>85</v>
      </c>
      <c r="B72" s="12" t="s">
        <v>630</v>
      </c>
      <c r="C72" s="12"/>
      <c r="D72" s="12"/>
      <c r="E72" s="12"/>
      <c r="F72" s="22">
        <f>F73</f>
        <v>974.8</v>
      </c>
      <c r="G72" s="22">
        <f>G73</f>
        <v>974.8</v>
      </c>
      <c r="H72" s="28">
        <f t="shared" si="1"/>
        <v>100</v>
      </c>
    </row>
    <row r="73" spans="1:8" ht="31.2" outlineLevel="4">
      <c r="A73" s="11" t="s">
        <v>87</v>
      </c>
      <c r="B73" s="12" t="s">
        <v>630</v>
      </c>
      <c r="C73" s="12" t="s">
        <v>88</v>
      </c>
      <c r="D73" s="12" t="s">
        <v>89</v>
      </c>
      <c r="E73" s="12" t="s">
        <v>127</v>
      </c>
      <c r="F73" s="22">
        <f>930+11.4+33.4</f>
        <v>974.8</v>
      </c>
      <c r="G73" s="22">
        <f>930+11.4+33.4</f>
        <v>974.8</v>
      </c>
      <c r="H73" s="28">
        <f t="shared" si="1"/>
        <v>100</v>
      </c>
    </row>
    <row r="74" spans="1:8" ht="46.8" outlineLevel="2">
      <c r="A74" s="11" t="s">
        <v>157</v>
      </c>
      <c r="B74" s="12" t="s">
        <v>158</v>
      </c>
      <c r="C74" s="12"/>
      <c r="D74" s="12"/>
      <c r="E74" s="12"/>
      <c r="F74" s="22">
        <f>F75+F77+F79+F81+F83+F85</f>
        <v>19253.464</v>
      </c>
      <c r="G74" s="22">
        <f>G75+G77+G79+G81+G83+G85</f>
        <v>18582.893500000002</v>
      </c>
      <c r="H74" s="28">
        <f t="shared" si="1"/>
        <v>96.517143616338359</v>
      </c>
    </row>
    <row r="75" spans="1:8" ht="46.8" outlineLevel="3">
      <c r="A75" s="11" t="s">
        <v>159</v>
      </c>
      <c r="B75" s="12" t="s">
        <v>160</v>
      </c>
      <c r="C75" s="12"/>
      <c r="D75" s="12"/>
      <c r="E75" s="12"/>
      <c r="F75" s="22">
        <f>F76</f>
        <v>8013.9639999999999</v>
      </c>
      <c r="G75" s="22">
        <f>G76</f>
        <v>7545.51</v>
      </c>
      <c r="H75" s="28">
        <f t="shared" ref="H75:H138" si="2">G75/F75*100</f>
        <v>94.154528270903143</v>
      </c>
    </row>
    <row r="76" spans="1:8" ht="31.2" outlineLevel="4">
      <c r="A76" s="11" t="s">
        <v>161</v>
      </c>
      <c r="B76" s="12" t="s">
        <v>160</v>
      </c>
      <c r="C76" s="12" t="s">
        <v>162</v>
      </c>
      <c r="D76" s="12" t="s">
        <v>163</v>
      </c>
      <c r="E76" s="12" t="s">
        <v>154</v>
      </c>
      <c r="F76" s="22">
        <f>10635-1635.036-866.5-114-5.5</f>
        <v>8013.9639999999999</v>
      </c>
      <c r="G76" s="28">
        <v>7545.51</v>
      </c>
      <c r="H76" s="28">
        <f t="shared" si="2"/>
        <v>94.154528270903143</v>
      </c>
    </row>
    <row r="77" spans="1:8" ht="78" outlineLevel="3">
      <c r="A77" s="11" t="s">
        <v>164</v>
      </c>
      <c r="B77" s="12" t="s">
        <v>165</v>
      </c>
      <c r="C77" s="12"/>
      <c r="D77" s="12"/>
      <c r="E77" s="12"/>
      <c r="F77" s="22">
        <f>F78</f>
        <v>1934</v>
      </c>
      <c r="G77" s="22">
        <f>G78</f>
        <v>1851.0450000000001</v>
      </c>
      <c r="H77" s="28">
        <f t="shared" si="2"/>
        <v>95.71070320579112</v>
      </c>
    </row>
    <row r="78" spans="1:8" ht="31.2" outlineLevel="4">
      <c r="A78" s="11" t="s">
        <v>161</v>
      </c>
      <c r="B78" s="12" t="s">
        <v>165</v>
      </c>
      <c r="C78" s="12" t="s">
        <v>162</v>
      </c>
      <c r="D78" s="12" t="s">
        <v>163</v>
      </c>
      <c r="E78" s="12" t="s">
        <v>154</v>
      </c>
      <c r="F78" s="22">
        <f>1200+734</f>
        <v>1934</v>
      </c>
      <c r="G78" s="28">
        <v>1851.0450000000001</v>
      </c>
      <c r="H78" s="28">
        <f t="shared" si="2"/>
        <v>95.71070320579112</v>
      </c>
    </row>
    <row r="79" spans="1:8" ht="46.8" outlineLevel="3">
      <c r="A79" s="11" t="s">
        <v>166</v>
      </c>
      <c r="B79" s="12" t="s">
        <v>167</v>
      </c>
      <c r="C79" s="12"/>
      <c r="D79" s="12"/>
      <c r="E79" s="12"/>
      <c r="F79" s="22">
        <f>F80</f>
        <v>5.5</v>
      </c>
      <c r="G79" s="22">
        <f>G80</f>
        <v>4.6375000000000002</v>
      </c>
      <c r="H79" s="28">
        <f t="shared" si="2"/>
        <v>84.318181818181827</v>
      </c>
    </row>
    <row r="80" spans="1:8" outlineLevel="4">
      <c r="A80" s="11" t="s">
        <v>168</v>
      </c>
      <c r="B80" s="12" t="s">
        <v>167</v>
      </c>
      <c r="C80" s="12" t="s">
        <v>169</v>
      </c>
      <c r="D80" s="12" t="s">
        <v>89</v>
      </c>
      <c r="E80" s="12" t="s">
        <v>170</v>
      </c>
      <c r="F80" s="22">
        <f>10-4.5</f>
        <v>5.5</v>
      </c>
      <c r="G80" s="28">
        <v>4.6375000000000002</v>
      </c>
      <c r="H80" s="28">
        <f t="shared" si="2"/>
        <v>84.318181818181827</v>
      </c>
    </row>
    <row r="81" spans="1:8" ht="46.8" hidden="1" outlineLevel="3">
      <c r="A81" s="11" t="s">
        <v>171</v>
      </c>
      <c r="B81" s="12" t="s">
        <v>172</v>
      </c>
      <c r="C81" s="12"/>
      <c r="D81" s="12"/>
      <c r="E81" s="12"/>
      <c r="F81" s="22">
        <f>F82</f>
        <v>0</v>
      </c>
      <c r="G81" s="28"/>
      <c r="H81" s="28" t="e">
        <f t="shared" si="2"/>
        <v>#DIV/0!</v>
      </c>
    </row>
    <row r="82" spans="1:8" hidden="1" outlineLevel="4">
      <c r="A82" s="11" t="s">
        <v>168</v>
      </c>
      <c r="B82" s="12" t="s">
        <v>172</v>
      </c>
      <c r="C82" s="12" t="s">
        <v>169</v>
      </c>
      <c r="D82" s="12" t="s">
        <v>89</v>
      </c>
      <c r="E82" s="12" t="s">
        <v>170</v>
      </c>
      <c r="F82" s="22">
        <f>24-24</f>
        <v>0</v>
      </c>
      <c r="G82" s="28"/>
      <c r="H82" s="28" t="e">
        <f t="shared" si="2"/>
        <v>#DIV/0!</v>
      </c>
    </row>
    <row r="83" spans="1:8" ht="46.8" outlineLevel="3" collapsed="1">
      <c r="A83" s="11" t="s">
        <v>173</v>
      </c>
      <c r="B83" s="12" t="s">
        <v>174</v>
      </c>
      <c r="C83" s="12"/>
      <c r="D83" s="12"/>
      <c r="E83" s="12"/>
      <c r="F83" s="22">
        <f>F84</f>
        <v>8835</v>
      </c>
      <c r="G83" s="22">
        <v>8722.6159499999994</v>
      </c>
      <c r="H83" s="28">
        <f t="shared" si="2"/>
        <v>98.727967741935473</v>
      </c>
    </row>
    <row r="84" spans="1:8" ht="31.2" outlineLevel="4">
      <c r="A84" s="11" t="s">
        <v>161</v>
      </c>
      <c r="B84" s="12" t="s">
        <v>174</v>
      </c>
      <c r="C84" s="12" t="s">
        <v>162</v>
      </c>
      <c r="D84" s="12" t="s">
        <v>163</v>
      </c>
      <c r="E84" s="12" t="s">
        <v>154</v>
      </c>
      <c r="F84" s="22">
        <f>4047+4788</f>
        <v>8835</v>
      </c>
      <c r="G84" s="28">
        <v>8722.6200000000008</v>
      </c>
      <c r="H84" s="28">
        <f t="shared" si="2"/>
        <v>98.728013582342967</v>
      </c>
    </row>
    <row r="85" spans="1:8" ht="62.4" outlineLevel="3">
      <c r="A85" s="11" t="s">
        <v>175</v>
      </c>
      <c r="B85" s="12" t="s">
        <v>176</v>
      </c>
      <c r="C85" s="12"/>
      <c r="D85" s="12"/>
      <c r="E85" s="12"/>
      <c r="F85" s="22">
        <f>F86</f>
        <v>465</v>
      </c>
      <c r="G85" s="22">
        <f>G86</f>
        <v>459.08505000000002</v>
      </c>
      <c r="H85" s="28">
        <f t="shared" si="2"/>
        <v>98.727967741935487</v>
      </c>
    </row>
    <row r="86" spans="1:8" ht="31.2" outlineLevel="4">
      <c r="A86" s="11" t="s">
        <v>161</v>
      </c>
      <c r="B86" s="12" t="s">
        <v>176</v>
      </c>
      <c r="C86" s="12" t="s">
        <v>162</v>
      </c>
      <c r="D86" s="12" t="s">
        <v>163</v>
      </c>
      <c r="E86" s="12" t="s">
        <v>154</v>
      </c>
      <c r="F86" s="22">
        <f>213+132.5+114+5.5</f>
        <v>465</v>
      </c>
      <c r="G86" s="28">
        <v>459.08505000000002</v>
      </c>
      <c r="H86" s="28">
        <f t="shared" si="2"/>
        <v>98.727967741935487</v>
      </c>
    </row>
    <row r="87" spans="1:8" ht="46.8">
      <c r="A87" s="9" t="s">
        <v>177</v>
      </c>
      <c r="B87" s="10" t="s">
        <v>178</v>
      </c>
      <c r="C87" s="10"/>
      <c r="D87" s="10"/>
      <c r="E87" s="10"/>
      <c r="F87" s="23">
        <f>F88+F118+F126+F150+F140</f>
        <v>118839.15102999999</v>
      </c>
      <c r="G87" s="23">
        <f>G88+G118+G126+G150+G140</f>
        <v>118564.38107</v>
      </c>
      <c r="H87" s="29">
        <f t="shared" si="2"/>
        <v>99.768788351634527</v>
      </c>
    </row>
    <row r="88" spans="1:8" ht="31.2" outlineLevel="1">
      <c r="A88" s="13" t="s">
        <v>179</v>
      </c>
      <c r="B88" s="14" t="s">
        <v>180</v>
      </c>
      <c r="C88" s="14"/>
      <c r="D88" s="14"/>
      <c r="E88" s="14"/>
      <c r="F88" s="24">
        <f>F89+F92+F101+F104+F111+F115</f>
        <v>28317.696029999999</v>
      </c>
      <c r="G88" s="24">
        <f>G89+G92+G101+G104+G111+G115</f>
        <v>28070.83107</v>
      </c>
      <c r="H88" s="30">
        <f t="shared" si="2"/>
        <v>99.128230772240556</v>
      </c>
    </row>
    <row r="89" spans="1:8" ht="78" outlineLevel="2">
      <c r="A89" s="11" t="s">
        <v>181</v>
      </c>
      <c r="B89" s="12" t="s">
        <v>182</v>
      </c>
      <c r="C89" s="12"/>
      <c r="D89" s="12"/>
      <c r="E89" s="12"/>
      <c r="F89" s="22">
        <f>F90</f>
        <v>630</v>
      </c>
      <c r="G89" s="22">
        <f>G90</f>
        <v>629.03800000000001</v>
      </c>
      <c r="H89" s="28">
        <f t="shared" si="2"/>
        <v>99.847301587301587</v>
      </c>
    </row>
    <row r="90" spans="1:8" ht="46.8" outlineLevel="3">
      <c r="A90" s="11" t="s">
        <v>183</v>
      </c>
      <c r="B90" s="12" t="s">
        <v>184</v>
      </c>
      <c r="C90" s="12"/>
      <c r="D90" s="12"/>
      <c r="E90" s="12"/>
      <c r="F90" s="22">
        <f>F91</f>
        <v>630</v>
      </c>
      <c r="G90" s="22">
        <f>G91</f>
        <v>629.03800000000001</v>
      </c>
      <c r="H90" s="28">
        <f t="shared" si="2"/>
        <v>99.847301587301587</v>
      </c>
    </row>
    <row r="91" spans="1:8" ht="31.2" outlineLevel="4">
      <c r="A91" s="11" t="s">
        <v>105</v>
      </c>
      <c r="B91" s="12" t="s">
        <v>184</v>
      </c>
      <c r="C91" s="12" t="s">
        <v>106</v>
      </c>
      <c r="D91" s="12" t="s">
        <v>91</v>
      </c>
      <c r="E91" s="12" t="s">
        <v>116</v>
      </c>
      <c r="F91" s="22">
        <f>109.4+643-122.4</f>
        <v>630</v>
      </c>
      <c r="G91" s="28">
        <v>629.03800000000001</v>
      </c>
      <c r="H91" s="28">
        <f t="shared" si="2"/>
        <v>99.847301587301587</v>
      </c>
    </row>
    <row r="92" spans="1:8" ht="31.2" outlineLevel="2">
      <c r="A92" s="11" t="s">
        <v>185</v>
      </c>
      <c r="B92" s="12" t="s">
        <v>186</v>
      </c>
      <c r="C92" s="12"/>
      <c r="D92" s="12"/>
      <c r="E92" s="12"/>
      <c r="F92" s="22">
        <f>F93+F95+F97</f>
        <v>6799.7</v>
      </c>
      <c r="G92" s="22">
        <f>G93+G95+G97</f>
        <v>6734.1302799999994</v>
      </c>
      <c r="H92" s="28">
        <f t="shared" si="2"/>
        <v>99.0356968689795</v>
      </c>
    </row>
    <row r="93" spans="1:8" ht="31.2" outlineLevel="3">
      <c r="A93" s="11" t="s">
        <v>187</v>
      </c>
      <c r="B93" s="12" t="s">
        <v>188</v>
      </c>
      <c r="C93" s="12"/>
      <c r="D93" s="12"/>
      <c r="E93" s="12"/>
      <c r="F93" s="22">
        <f>F94</f>
        <v>2761.6</v>
      </c>
      <c r="G93" s="22">
        <f>G94</f>
        <v>2755.3155099999999</v>
      </c>
      <c r="H93" s="28">
        <f t="shared" si="2"/>
        <v>99.772433009849365</v>
      </c>
    </row>
    <row r="94" spans="1:8" ht="93.6" outlineLevel="4">
      <c r="A94" s="11" t="s">
        <v>189</v>
      </c>
      <c r="B94" s="12" t="s">
        <v>188</v>
      </c>
      <c r="C94" s="12" t="s">
        <v>190</v>
      </c>
      <c r="D94" s="12" t="s">
        <v>91</v>
      </c>
      <c r="E94" s="12" t="s">
        <v>91</v>
      </c>
      <c r="F94" s="22">
        <v>2761.6</v>
      </c>
      <c r="G94" s="28">
        <v>2755.3155099999999</v>
      </c>
      <c r="H94" s="28">
        <f t="shared" si="2"/>
        <v>99.772433009849365</v>
      </c>
    </row>
    <row r="95" spans="1:8" ht="31.2" outlineLevel="3">
      <c r="A95" s="11" t="s">
        <v>191</v>
      </c>
      <c r="B95" s="12" t="s">
        <v>192</v>
      </c>
      <c r="C95" s="12"/>
      <c r="D95" s="12"/>
      <c r="E95" s="12"/>
      <c r="F95" s="22">
        <f>F96</f>
        <v>381.4</v>
      </c>
      <c r="G95" s="22">
        <f>G96</f>
        <v>359.47394000000003</v>
      </c>
      <c r="H95" s="28">
        <f t="shared" si="2"/>
        <v>94.251164132144737</v>
      </c>
    </row>
    <row r="96" spans="1:8" ht="31.2" outlineLevel="4">
      <c r="A96" s="11" t="s">
        <v>105</v>
      </c>
      <c r="B96" s="12" t="s">
        <v>192</v>
      </c>
      <c r="C96" s="12" t="s">
        <v>106</v>
      </c>
      <c r="D96" s="12" t="s">
        <v>91</v>
      </c>
      <c r="E96" s="12" t="s">
        <v>91</v>
      </c>
      <c r="F96" s="22">
        <f>361.4+20</f>
        <v>381.4</v>
      </c>
      <c r="G96" s="28">
        <v>359.47394000000003</v>
      </c>
      <c r="H96" s="28">
        <f t="shared" si="2"/>
        <v>94.251164132144737</v>
      </c>
    </row>
    <row r="97" spans="1:8" ht="46.8" outlineLevel="3">
      <c r="A97" s="11" t="s">
        <v>193</v>
      </c>
      <c r="B97" s="12" t="s">
        <v>194</v>
      </c>
      <c r="C97" s="12"/>
      <c r="D97" s="12"/>
      <c r="E97" s="12"/>
      <c r="F97" s="22">
        <f>F98+F99+F100</f>
        <v>3656.7</v>
      </c>
      <c r="G97" s="22">
        <f>G98+G99+G100</f>
        <v>3619.3408299999996</v>
      </c>
      <c r="H97" s="28">
        <f t="shared" si="2"/>
        <v>98.97833647824541</v>
      </c>
    </row>
    <row r="98" spans="1:8" ht="93.6" outlineLevel="4">
      <c r="A98" s="11" t="s">
        <v>189</v>
      </c>
      <c r="B98" s="12" t="s">
        <v>194</v>
      </c>
      <c r="C98" s="12" t="s">
        <v>190</v>
      </c>
      <c r="D98" s="12" t="s">
        <v>91</v>
      </c>
      <c r="E98" s="12" t="s">
        <v>91</v>
      </c>
      <c r="F98" s="22">
        <v>2732.7</v>
      </c>
      <c r="G98" s="28">
        <v>2730.9966599999998</v>
      </c>
      <c r="H98" s="28">
        <f t="shared" si="2"/>
        <v>99.937668240201987</v>
      </c>
    </row>
    <row r="99" spans="1:8" ht="31.2" outlineLevel="4">
      <c r="A99" s="11" t="s">
        <v>105</v>
      </c>
      <c r="B99" s="12" t="s">
        <v>194</v>
      </c>
      <c r="C99" s="12" t="s">
        <v>106</v>
      </c>
      <c r="D99" s="12" t="s">
        <v>91</v>
      </c>
      <c r="E99" s="12" t="s">
        <v>91</v>
      </c>
      <c r="F99" s="22">
        <f>884-20</f>
        <v>864</v>
      </c>
      <c r="G99" s="28">
        <v>828.49532999999997</v>
      </c>
      <c r="H99" s="28">
        <f t="shared" si="2"/>
        <v>95.890663194444443</v>
      </c>
    </row>
    <row r="100" spans="1:8" outlineLevel="4">
      <c r="A100" s="19" t="s">
        <v>600</v>
      </c>
      <c r="B100" s="12" t="s">
        <v>194</v>
      </c>
      <c r="C100" s="12" t="s">
        <v>169</v>
      </c>
      <c r="D100" s="12" t="s">
        <v>91</v>
      </c>
      <c r="E100" s="12" t="s">
        <v>91</v>
      </c>
      <c r="F100" s="22">
        <f>20+40</f>
        <v>60</v>
      </c>
      <c r="G100" s="28">
        <v>59.848840000000003</v>
      </c>
      <c r="H100" s="28">
        <f t="shared" si="2"/>
        <v>99.748066666666674</v>
      </c>
    </row>
    <row r="101" spans="1:8" ht="62.4" outlineLevel="2">
      <c r="A101" s="11" t="s">
        <v>195</v>
      </c>
      <c r="B101" s="12" t="s">
        <v>196</v>
      </c>
      <c r="C101" s="12"/>
      <c r="D101" s="12"/>
      <c r="E101" s="12"/>
      <c r="F101" s="22">
        <f>F102</f>
        <v>104.3</v>
      </c>
      <c r="G101" s="22">
        <f>G102</f>
        <v>55.414470000000001</v>
      </c>
      <c r="H101" s="28">
        <f t="shared" si="2"/>
        <v>53.129884947267506</v>
      </c>
    </row>
    <row r="102" spans="1:8" ht="46.8" outlineLevel="3">
      <c r="A102" s="11" t="s">
        <v>197</v>
      </c>
      <c r="B102" s="12" t="s">
        <v>198</v>
      </c>
      <c r="C102" s="12"/>
      <c r="D102" s="12"/>
      <c r="E102" s="12"/>
      <c r="F102" s="22">
        <f>F103</f>
        <v>104.3</v>
      </c>
      <c r="G102" s="22">
        <f>G103</f>
        <v>55.414470000000001</v>
      </c>
      <c r="H102" s="28">
        <f t="shared" si="2"/>
        <v>53.129884947267506</v>
      </c>
    </row>
    <row r="103" spans="1:8" ht="31.2" outlineLevel="4">
      <c r="A103" s="11" t="s">
        <v>105</v>
      </c>
      <c r="B103" s="12" t="s">
        <v>198</v>
      </c>
      <c r="C103" s="12" t="s">
        <v>106</v>
      </c>
      <c r="D103" s="12" t="s">
        <v>91</v>
      </c>
      <c r="E103" s="12" t="s">
        <v>116</v>
      </c>
      <c r="F103" s="22">
        <v>104.3</v>
      </c>
      <c r="G103" s="28">
        <v>55.414470000000001</v>
      </c>
      <c r="H103" s="28">
        <f t="shared" si="2"/>
        <v>53.129884947267506</v>
      </c>
    </row>
    <row r="104" spans="1:8" ht="31.2" outlineLevel="4">
      <c r="A104" s="19" t="s">
        <v>558</v>
      </c>
      <c r="B104" s="20" t="s">
        <v>562</v>
      </c>
      <c r="C104" s="12"/>
      <c r="D104" s="12"/>
      <c r="E104" s="12"/>
      <c r="F104" s="22">
        <f>F105+F107+F109</f>
        <v>20544.804029999999</v>
      </c>
      <c r="G104" s="22">
        <f>G105+G107+G109</f>
        <v>20544.705999999998</v>
      </c>
      <c r="H104" s="28">
        <f t="shared" si="2"/>
        <v>99.999522847724137</v>
      </c>
    </row>
    <row r="105" spans="1:8" ht="109.2" outlineLevel="4">
      <c r="A105" s="19" t="s">
        <v>559</v>
      </c>
      <c r="B105" s="20" t="s">
        <v>563</v>
      </c>
      <c r="C105" s="12"/>
      <c r="D105" s="12"/>
      <c r="E105" s="12"/>
      <c r="F105" s="22">
        <f>F106</f>
        <v>10300.61563</v>
      </c>
      <c r="G105" s="22">
        <f>G106</f>
        <v>10300.61563</v>
      </c>
      <c r="H105" s="28">
        <f t="shared" si="2"/>
        <v>100</v>
      </c>
    </row>
    <row r="106" spans="1:8" ht="31.2" outlineLevel="4">
      <c r="A106" s="19" t="s">
        <v>560</v>
      </c>
      <c r="B106" s="20" t="s">
        <v>563</v>
      </c>
      <c r="C106" s="12" t="s">
        <v>88</v>
      </c>
      <c r="D106" s="12" t="s">
        <v>91</v>
      </c>
      <c r="E106" s="12" t="s">
        <v>116</v>
      </c>
      <c r="F106" s="22">
        <v>10300.61563</v>
      </c>
      <c r="G106" s="22">
        <v>10300.61563</v>
      </c>
      <c r="H106" s="28">
        <f t="shared" si="2"/>
        <v>100</v>
      </c>
    </row>
    <row r="107" spans="1:8" ht="78" outlineLevel="4">
      <c r="A107" s="19" t="s">
        <v>561</v>
      </c>
      <c r="B107" s="20" t="s">
        <v>564</v>
      </c>
      <c r="C107" s="12"/>
      <c r="D107" s="12"/>
      <c r="E107" s="12"/>
      <c r="F107" s="22">
        <f>F108</f>
        <v>5457.6884</v>
      </c>
      <c r="G107" s="22">
        <f>G108</f>
        <v>5457.6884</v>
      </c>
      <c r="H107" s="28">
        <f t="shared" si="2"/>
        <v>100</v>
      </c>
    </row>
    <row r="108" spans="1:8" ht="31.2" outlineLevel="4">
      <c r="A108" s="19" t="s">
        <v>560</v>
      </c>
      <c r="B108" s="20" t="s">
        <v>564</v>
      </c>
      <c r="C108" s="12" t="s">
        <v>88</v>
      </c>
      <c r="D108" s="12" t="s">
        <v>91</v>
      </c>
      <c r="E108" s="12" t="s">
        <v>116</v>
      </c>
      <c r="F108" s="22">
        <v>5457.6884</v>
      </c>
      <c r="G108" s="22">
        <v>5457.6884</v>
      </c>
      <c r="H108" s="28">
        <f t="shared" si="2"/>
        <v>100</v>
      </c>
    </row>
    <row r="109" spans="1:8" ht="78" outlineLevel="4">
      <c r="A109" s="19" t="s">
        <v>561</v>
      </c>
      <c r="B109" s="20" t="s">
        <v>623</v>
      </c>
      <c r="C109" s="12"/>
      <c r="D109" s="12"/>
      <c r="E109" s="12"/>
      <c r="F109" s="22">
        <f>F110</f>
        <v>4786.5</v>
      </c>
      <c r="G109" s="22">
        <f>G110</f>
        <v>4786.4019699999999</v>
      </c>
      <c r="H109" s="28">
        <f t="shared" si="2"/>
        <v>99.99795194818762</v>
      </c>
    </row>
    <row r="110" spans="1:8" ht="31.2" outlineLevel="4">
      <c r="A110" s="19" t="s">
        <v>560</v>
      </c>
      <c r="B110" s="20" t="s">
        <v>623</v>
      </c>
      <c r="C110" s="12" t="s">
        <v>88</v>
      </c>
      <c r="D110" s="12" t="s">
        <v>91</v>
      </c>
      <c r="E110" s="12" t="s">
        <v>116</v>
      </c>
      <c r="F110" s="22">
        <v>4786.5</v>
      </c>
      <c r="G110" s="28">
        <v>4786.4019699999999</v>
      </c>
      <c r="H110" s="28">
        <f t="shared" si="2"/>
        <v>99.99795194818762</v>
      </c>
    </row>
    <row r="111" spans="1:8" ht="78" outlineLevel="4">
      <c r="A111" s="19" t="s">
        <v>605</v>
      </c>
      <c r="B111" s="20" t="s">
        <v>607</v>
      </c>
      <c r="C111" s="12"/>
      <c r="D111" s="12"/>
      <c r="E111" s="12"/>
      <c r="F111" s="22">
        <f>F112</f>
        <v>72.2</v>
      </c>
      <c r="G111" s="22">
        <f>G112</f>
        <v>9.5223200000000006</v>
      </c>
      <c r="H111" s="28">
        <f t="shared" si="2"/>
        <v>13.188808864265928</v>
      </c>
    </row>
    <row r="112" spans="1:8" ht="78" outlineLevel="4">
      <c r="A112" s="19" t="s">
        <v>606</v>
      </c>
      <c r="B112" s="20" t="s">
        <v>608</v>
      </c>
      <c r="C112" s="12"/>
      <c r="D112" s="12"/>
      <c r="E112" s="12"/>
      <c r="F112" s="22">
        <f>F113+F114</f>
        <v>72.2</v>
      </c>
      <c r="G112" s="22">
        <f>G113+G114</f>
        <v>9.5223200000000006</v>
      </c>
      <c r="H112" s="28">
        <f t="shared" si="2"/>
        <v>13.188808864265928</v>
      </c>
    </row>
    <row r="113" spans="1:8" ht="31.2" outlineLevel="4">
      <c r="A113" s="19" t="s">
        <v>581</v>
      </c>
      <c r="B113" s="20" t="s">
        <v>608</v>
      </c>
      <c r="C113" s="12" t="s">
        <v>162</v>
      </c>
      <c r="D113" s="12" t="s">
        <v>91</v>
      </c>
      <c r="E113" s="12" t="s">
        <v>116</v>
      </c>
      <c r="F113" s="22">
        <f>72.2-0.4</f>
        <v>71.8</v>
      </c>
      <c r="G113" s="28">
        <v>9.1223200000000002</v>
      </c>
      <c r="H113" s="28">
        <f t="shared" si="2"/>
        <v>12.705181058495823</v>
      </c>
    </row>
    <row r="114" spans="1:8" outlineLevel="4">
      <c r="A114" s="19" t="s">
        <v>617</v>
      </c>
      <c r="B114" s="20" t="s">
        <v>608</v>
      </c>
      <c r="C114" s="12" t="s">
        <v>169</v>
      </c>
      <c r="D114" s="12" t="s">
        <v>91</v>
      </c>
      <c r="E114" s="12" t="s">
        <v>116</v>
      </c>
      <c r="F114" s="22">
        <v>0.4</v>
      </c>
      <c r="G114" s="28">
        <v>0.4</v>
      </c>
      <c r="H114" s="28">
        <f t="shared" si="2"/>
        <v>100</v>
      </c>
    </row>
    <row r="115" spans="1:8" ht="46.8" outlineLevel="4">
      <c r="A115" s="19" t="s">
        <v>640</v>
      </c>
      <c r="B115" s="20" t="s">
        <v>638</v>
      </c>
      <c r="C115" s="12"/>
      <c r="D115" s="12"/>
      <c r="E115" s="12"/>
      <c r="F115" s="22">
        <f>F116</f>
        <v>166.69200000000001</v>
      </c>
      <c r="G115" s="22">
        <f>G116</f>
        <v>98.02</v>
      </c>
      <c r="H115" s="28">
        <f t="shared" si="2"/>
        <v>58.803061934585941</v>
      </c>
    </row>
    <row r="116" spans="1:8" ht="31.2" outlineLevel="4">
      <c r="A116" s="19" t="s">
        <v>641</v>
      </c>
      <c r="B116" s="20" t="s">
        <v>639</v>
      </c>
      <c r="C116" s="12"/>
      <c r="D116" s="12"/>
      <c r="E116" s="12"/>
      <c r="F116" s="22">
        <f>F117</f>
        <v>166.69200000000001</v>
      </c>
      <c r="G116" s="22">
        <f>G117</f>
        <v>98.02</v>
      </c>
      <c r="H116" s="28">
        <f t="shared" si="2"/>
        <v>58.803061934585941</v>
      </c>
    </row>
    <row r="117" spans="1:8" ht="31.2" outlineLevel="4">
      <c r="A117" s="19" t="s">
        <v>556</v>
      </c>
      <c r="B117" s="20" t="s">
        <v>639</v>
      </c>
      <c r="C117" s="12" t="s">
        <v>106</v>
      </c>
      <c r="D117" s="12" t="s">
        <v>91</v>
      </c>
      <c r="E117" s="12" t="s">
        <v>116</v>
      </c>
      <c r="F117" s="22">
        <v>166.69200000000001</v>
      </c>
      <c r="G117" s="28">
        <v>98.02</v>
      </c>
      <c r="H117" s="28">
        <f t="shared" si="2"/>
        <v>58.803061934585941</v>
      </c>
    </row>
    <row r="118" spans="1:8" ht="31.2" outlineLevel="1">
      <c r="A118" s="13" t="s">
        <v>199</v>
      </c>
      <c r="B118" s="14" t="s">
        <v>200</v>
      </c>
      <c r="C118" s="14"/>
      <c r="D118" s="14"/>
      <c r="E118" s="14"/>
      <c r="F118" s="24">
        <f>F119</f>
        <v>10946.415999999999</v>
      </c>
      <c r="G118" s="24">
        <f>G119</f>
        <v>10946.415999999999</v>
      </c>
      <c r="H118" s="30">
        <f t="shared" si="2"/>
        <v>100</v>
      </c>
    </row>
    <row r="119" spans="1:8" ht="46.8" outlineLevel="2">
      <c r="A119" s="11" t="s">
        <v>201</v>
      </c>
      <c r="B119" s="12" t="s">
        <v>202</v>
      </c>
      <c r="C119" s="12"/>
      <c r="D119" s="12"/>
      <c r="E119" s="12"/>
      <c r="F119" s="22">
        <f>F122+F120+F124</f>
        <v>10946.415999999999</v>
      </c>
      <c r="G119" s="22">
        <f>G122+G120+G124</f>
        <v>10946.415999999999</v>
      </c>
      <c r="H119" s="28">
        <f t="shared" si="2"/>
        <v>100</v>
      </c>
    </row>
    <row r="120" spans="1:8" ht="31.2" outlineLevel="2">
      <c r="A120" s="19" t="s">
        <v>591</v>
      </c>
      <c r="B120" s="20" t="s">
        <v>592</v>
      </c>
      <c r="C120" s="12"/>
      <c r="D120" s="12"/>
      <c r="E120" s="12"/>
      <c r="F120" s="22">
        <f>F121</f>
        <v>3907.2</v>
      </c>
      <c r="G120" s="22">
        <f>G121</f>
        <v>3907.2</v>
      </c>
      <c r="H120" s="28">
        <f t="shared" si="2"/>
        <v>100</v>
      </c>
    </row>
    <row r="121" spans="1:8" ht="31.2" outlineLevel="2">
      <c r="A121" s="19" t="s">
        <v>581</v>
      </c>
      <c r="B121" s="20" t="s">
        <v>592</v>
      </c>
      <c r="C121" s="12" t="s">
        <v>162</v>
      </c>
      <c r="D121" s="12" t="s">
        <v>163</v>
      </c>
      <c r="E121" s="12" t="s">
        <v>154</v>
      </c>
      <c r="F121" s="22">
        <v>3907.2</v>
      </c>
      <c r="G121" s="22">
        <v>3907.2</v>
      </c>
      <c r="H121" s="28">
        <f t="shared" si="2"/>
        <v>100</v>
      </c>
    </row>
    <row r="122" spans="1:8" ht="31.2" outlineLevel="3">
      <c r="A122" s="11" t="s">
        <v>203</v>
      </c>
      <c r="B122" s="12" t="s">
        <v>204</v>
      </c>
      <c r="C122" s="12"/>
      <c r="D122" s="12"/>
      <c r="E122" s="12"/>
      <c r="F122" s="22">
        <f>F123</f>
        <v>3000</v>
      </c>
      <c r="G122" s="22">
        <f>G123</f>
        <v>3000</v>
      </c>
      <c r="H122" s="28">
        <f t="shared" si="2"/>
        <v>100</v>
      </c>
    </row>
    <row r="123" spans="1:8" ht="31.2" outlineLevel="4">
      <c r="A123" s="11" t="s">
        <v>161</v>
      </c>
      <c r="B123" s="12" t="s">
        <v>204</v>
      </c>
      <c r="C123" s="12" t="s">
        <v>162</v>
      </c>
      <c r="D123" s="12" t="s">
        <v>163</v>
      </c>
      <c r="E123" s="12" t="s">
        <v>154</v>
      </c>
      <c r="F123" s="22">
        <v>3000</v>
      </c>
      <c r="G123" s="22">
        <v>3000</v>
      </c>
      <c r="H123" s="28">
        <f t="shared" si="2"/>
        <v>100</v>
      </c>
    </row>
    <row r="124" spans="1:8" ht="31.2" outlineLevel="4">
      <c r="A124" s="19" t="s">
        <v>591</v>
      </c>
      <c r="B124" s="20" t="s">
        <v>593</v>
      </c>
      <c r="C124" s="12"/>
      <c r="D124" s="12"/>
      <c r="E124" s="12"/>
      <c r="F124" s="22">
        <f>F125</f>
        <v>4039.2159999999999</v>
      </c>
      <c r="G124" s="22">
        <f>G125</f>
        <v>4039.2159999999999</v>
      </c>
      <c r="H124" s="28">
        <f t="shared" si="2"/>
        <v>100</v>
      </c>
    </row>
    <row r="125" spans="1:8" ht="31.2" outlineLevel="4">
      <c r="A125" s="19" t="s">
        <v>581</v>
      </c>
      <c r="B125" s="20" t="s">
        <v>593</v>
      </c>
      <c r="C125" s="12" t="s">
        <v>162</v>
      </c>
      <c r="D125" s="12" t="s">
        <v>163</v>
      </c>
      <c r="E125" s="12" t="s">
        <v>154</v>
      </c>
      <c r="F125" s="22">
        <f>3000+1039.216</f>
        <v>4039.2159999999999</v>
      </c>
      <c r="G125" s="22">
        <f>3000+1039.216</f>
        <v>4039.2159999999999</v>
      </c>
      <c r="H125" s="28">
        <f t="shared" si="2"/>
        <v>100</v>
      </c>
    </row>
    <row r="126" spans="1:8" ht="62.4" outlineLevel="1">
      <c r="A126" s="13" t="s">
        <v>205</v>
      </c>
      <c r="B126" s="14" t="s">
        <v>206</v>
      </c>
      <c r="C126" s="14"/>
      <c r="D126" s="14"/>
      <c r="E126" s="14"/>
      <c r="F126" s="24">
        <f>F127+F135+F132</f>
        <v>22661.168999999998</v>
      </c>
      <c r="G126" s="24">
        <f>G127+G135+G132</f>
        <v>22661.136999999999</v>
      </c>
      <c r="H126" s="30">
        <f t="shared" si="2"/>
        <v>99.999858789279585</v>
      </c>
    </row>
    <row r="127" spans="1:8" ht="46.8" outlineLevel="2">
      <c r="A127" s="11" t="s">
        <v>207</v>
      </c>
      <c r="B127" s="12" t="s">
        <v>208</v>
      </c>
      <c r="C127" s="12"/>
      <c r="D127" s="12"/>
      <c r="E127" s="12"/>
      <c r="F127" s="22">
        <f>F130+F128</f>
        <v>3563.0280000000002</v>
      </c>
      <c r="G127" s="22">
        <f>G130+G128</f>
        <v>3563.0280000000002</v>
      </c>
      <c r="H127" s="28">
        <f t="shared" si="2"/>
        <v>100</v>
      </c>
    </row>
    <row r="128" spans="1:8" ht="109.2" outlineLevel="2">
      <c r="A128" s="11" t="s">
        <v>547</v>
      </c>
      <c r="B128" s="12" t="s">
        <v>546</v>
      </c>
      <c r="C128" s="12"/>
      <c r="D128" s="12"/>
      <c r="E128" s="12"/>
      <c r="F128" s="22">
        <v>2375.3519999999999</v>
      </c>
      <c r="G128" s="22">
        <v>2375.3519999999999</v>
      </c>
      <c r="H128" s="28">
        <f t="shared" si="2"/>
        <v>100</v>
      </c>
    </row>
    <row r="129" spans="1:8" ht="31.2" outlineLevel="2">
      <c r="A129" s="11" t="s">
        <v>161</v>
      </c>
      <c r="B129" s="12" t="s">
        <v>546</v>
      </c>
      <c r="C129" s="12" t="s">
        <v>162</v>
      </c>
      <c r="D129" s="12" t="s">
        <v>163</v>
      </c>
      <c r="E129" s="12" t="s">
        <v>154</v>
      </c>
      <c r="F129" s="22">
        <v>2375.3519999999999</v>
      </c>
      <c r="G129" s="22">
        <v>2375.3519999999999</v>
      </c>
      <c r="H129" s="28">
        <f t="shared" si="2"/>
        <v>100</v>
      </c>
    </row>
    <row r="130" spans="1:8" ht="78" outlineLevel="3">
      <c r="A130" s="11" t="s">
        <v>209</v>
      </c>
      <c r="B130" s="12" t="s">
        <v>210</v>
      </c>
      <c r="C130" s="12"/>
      <c r="D130" s="12"/>
      <c r="E130" s="12"/>
      <c r="F130" s="22">
        <f>F131</f>
        <v>1187.6760000000002</v>
      </c>
      <c r="G130" s="22">
        <f>G131</f>
        <v>1187.6760000000002</v>
      </c>
      <c r="H130" s="28">
        <f t="shared" si="2"/>
        <v>100</v>
      </c>
    </row>
    <row r="131" spans="1:8" ht="31.2" outlineLevel="4">
      <c r="A131" s="11" t="s">
        <v>161</v>
      </c>
      <c r="B131" s="12" t="s">
        <v>210</v>
      </c>
      <c r="C131" s="12" t="s">
        <v>162</v>
      </c>
      <c r="D131" s="12" t="s">
        <v>163</v>
      </c>
      <c r="E131" s="12" t="s">
        <v>154</v>
      </c>
      <c r="F131" s="22">
        <f>1187.7-0.024</f>
        <v>1187.6760000000002</v>
      </c>
      <c r="G131" s="22">
        <f>1187.7-0.024</f>
        <v>1187.6760000000002</v>
      </c>
      <c r="H131" s="28">
        <f t="shared" si="2"/>
        <v>100</v>
      </c>
    </row>
    <row r="132" spans="1:8" ht="124.8" outlineLevel="4">
      <c r="A132" s="19" t="s">
        <v>587</v>
      </c>
      <c r="B132" s="20" t="s">
        <v>589</v>
      </c>
      <c r="C132" s="12"/>
      <c r="D132" s="12"/>
      <c r="E132" s="12"/>
      <c r="F132" s="22">
        <f>F133</f>
        <v>950.14099999999996</v>
      </c>
      <c r="G132" s="22">
        <f>G133</f>
        <v>950.14099999999996</v>
      </c>
      <c r="H132" s="28">
        <f t="shared" si="2"/>
        <v>100</v>
      </c>
    </row>
    <row r="133" spans="1:8" ht="93.6" outlineLevel="4">
      <c r="A133" s="19" t="s">
        <v>588</v>
      </c>
      <c r="B133" s="20" t="s">
        <v>590</v>
      </c>
      <c r="C133" s="12"/>
      <c r="D133" s="12"/>
      <c r="E133" s="12"/>
      <c r="F133" s="22">
        <f>F134</f>
        <v>950.14099999999996</v>
      </c>
      <c r="G133" s="22">
        <f>G134</f>
        <v>950.14099999999996</v>
      </c>
      <c r="H133" s="28">
        <f t="shared" si="2"/>
        <v>100</v>
      </c>
    </row>
    <row r="134" spans="1:8" ht="31.2" outlineLevel="4">
      <c r="A134" s="19" t="s">
        <v>581</v>
      </c>
      <c r="B134" s="20" t="s">
        <v>590</v>
      </c>
      <c r="C134" s="12" t="s">
        <v>162</v>
      </c>
      <c r="D134" s="12" t="s">
        <v>163</v>
      </c>
      <c r="E134" s="12" t="s">
        <v>154</v>
      </c>
      <c r="F134" s="22">
        <v>950.14099999999996</v>
      </c>
      <c r="G134" s="22">
        <v>950.14099999999996</v>
      </c>
      <c r="H134" s="28">
        <f t="shared" si="2"/>
        <v>100</v>
      </c>
    </row>
    <row r="135" spans="1:8" ht="62.4" outlineLevel="2">
      <c r="A135" s="11" t="s">
        <v>211</v>
      </c>
      <c r="B135" s="12" t="s">
        <v>212</v>
      </c>
      <c r="C135" s="12"/>
      <c r="D135" s="12"/>
      <c r="E135" s="12"/>
      <c r="F135" s="22">
        <f>F136+F138</f>
        <v>18148</v>
      </c>
      <c r="G135" s="22">
        <f>G136+G138</f>
        <v>18147.968000000001</v>
      </c>
      <c r="H135" s="28">
        <f t="shared" si="2"/>
        <v>99.999823672029976</v>
      </c>
    </row>
    <row r="136" spans="1:8" ht="62.4" outlineLevel="3">
      <c r="A136" s="11" t="s">
        <v>213</v>
      </c>
      <c r="B136" s="12" t="s">
        <v>214</v>
      </c>
      <c r="C136" s="12"/>
      <c r="D136" s="12"/>
      <c r="E136" s="12"/>
      <c r="F136" s="22">
        <f>F137</f>
        <v>5584</v>
      </c>
      <c r="G136" s="22">
        <f>G137</f>
        <v>5584</v>
      </c>
      <c r="H136" s="28">
        <f t="shared" si="2"/>
        <v>100</v>
      </c>
    </row>
    <row r="137" spans="1:8" ht="31.2" outlineLevel="4">
      <c r="A137" s="11" t="s">
        <v>87</v>
      </c>
      <c r="B137" s="12" t="s">
        <v>214</v>
      </c>
      <c r="C137" s="12" t="s">
        <v>88</v>
      </c>
      <c r="D137" s="12" t="s">
        <v>163</v>
      </c>
      <c r="E137" s="12" t="s">
        <v>89</v>
      </c>
      <c r="F137" s="22">
        <v>5584</v>
      </c>
      <c r="G137" s="22">
        <v>5584</v>
      </c>
      <c r="H137" s="28">
        <f t="shared" si="2"/>
        <v>100</v>
      </c>
    </row>
    <row r="138" spans="1:8" ht="62.4" outlineLevel="3">
      <c r="A138" s="11" t="s">
        <v>213</v>
      </c>
      <c r="B138" s="12" t="s">
        <v>215</v>
      </c>
      <c r="C138" s="12"/>
      <c r="D138" s="12"/>
      <c r="E138" s="12"/>
      <c r="F138" s="22">
        <f>F139</f>
        <v>12564</v>
      </c>
      <c r="G138" s="22">
        <f>G139</f>
        <v>12563.968000000001</v>
      </c>
      <c r="H138" s="28">
        <f t="shared" si="2"/>
        <v>99.999745304043302</v>
      </c>
    </row>
    <row r="139" spans="1:8" ht="31.2" outlineLevel="4">
      <c r="A139" s="11" t="s">
        <v>87</v>
      </c>
      <c r="B139" s="12" t="s">
        <v>215</v>
      </c>
      <c r="C139" s="12" t="s">
        <v>88</v>
      </c>
      <c r="D139" s="12" t="s">
        <v>163</v>
      </c>
      <c r="E139" s="12" t="s">
        <v>89</v>
      </c>
      <c r="F139" s="22">
        <v>12564</v>
      </c>
      <c r="G139" s="22">
        <v>12563.968000000001</v>
      </c>
      <c r="H139" s="28">
        <f t="shared" ref="H139:H202" si="3">G139/F139*100</f>
        <v>99.999745304043302</v>
      </c>
    </row>
    <row r="140" spans="1:8" outlineLevel="4">
      <c r="A140" s="13" t="s">
        <v>552</v>
      </c>
      <c r="B140" s="14" t="s">
        <v>550</v>
      </c>
      <c r="C140" s="12"/>
      <c r="D140" s="12"/>
      <c r="E140" s="12"/>
      <c r="F140" s="22">
        <f>F141</f>
        <v>55023.869999999995</v>
      </c>
      <c r="G140" s="22">
        <f>G141</f>
        <v>54995.996999999996</v>
      </c>
      <c r="H140" s="30">
        <f t="shared" si="3"/>
        <v>99.949343802971327</v>
      </c>
    </row>
    <row r="141" spans="1:8" ht="62.4" outlineLevel="4">
      <c r="A141" s="11" t="s">
        <v>553</v>
      </c>
      <c r="B141" s="12" t="s">
        <v>551</v>
      </c>
      <c r="C141" s="12"/>
      <c r="D141" s="12"/>
      <c r="E141" s="12"/>
      <c r="F141" s="22">
        <f>F146+F142+F144+F148</f>
        <v>55023.869999999995</v>
      </c>
      <c r="G141" s="22">
        <f>G146+G142+G144+G148</f>
        <v>54995.996999999996</v>
      </c>
      <c r="H141" s="28">
        <f t="shared" si="3"/>
        <v>99.949343802971327</v>
      </c>
    </row>
    <row r="142" spans="1:8" ht="31.2" outlineLevel="4">
      <c r="A142" s="19" t="s">
        <v>576</v>
      </c>
      <c r="B142" s="12" t="s">
        <v>578</v>
      </c>
      <c r="C142" s="12"/>
      <c r="D142" s="12"/>
      <c r="E142" s="12"/>
      <c r="F142" s="22">
        <f>F143</f>
        <v>31631.599999999999</v>
      </c>
      <c r="G142" s="22">
        <f>G143</f>
        <v>31603.726999999999</v>
      </c>
      <c r="H142" s="28">
        <f t="shared" si="3"/>
        <v>99.911882421376092</v>
      </c>
    </row>
    <row r="143" spans="1:8" ht="31.2" outlineLevel="4">
      <c r="A143" s="19" t="s">
        <v>560</v>
      </c>
      <c r="B143" s="12" t="s">
        <v>578</v>
      </c>
      <c r="C143" s="12" t="s">
        <v>88</v>
      </c>
      <c r="D143" s="12" t="s">
        <v>91</v>
      </c>
      <c r="E143" s="12" t="s">
        <v>116</v>
      </c>
      <c r="F143" s="22">
        <v>31631.599999999999</v>
      </c>
      <c r="G143" s="28">
        <v>31603.726999999999</v>
      </c>
      <c r="H143" s="28">
        <f t="shared" si="3"/>
        <v>99.911882421376092</v>
      </c>
    </row>
    <row r="144" spans="1:8" ht="31.2" outlineLevel="4">
      <c r="A144" s="19" t="s">
        <v>577</v>
      </c>
      <c r="B144" s="12" t="s">
        <v>579</v>
      </c>
      <c r="C144" s="12"/>
      <c r="D144" s="12"/>
      <c r="E144" s="12"/>
      <c r="F144" s="22">
        <f>F145</f>
        <v>15142.861999999999</v>
      </c>
      <c r="G144" s="22">
        <f>G145</f>
        <v>15142.861999999999</v>
      </c>
      <c r="H144" s="28">
        <f t="shared" si="3"/>
        <v>100</v>
      </c>
    </row>
    <row r="145" spans="1:8" ht="31.2" outlineLevel="4">
      <c r="A145" s="19" t="s">
        <v>560</v>
      </c>
      <c r="B145" s="12" t="s">
        <v>579</v>
      </c>
      <c r="C145" s="12" t="s">
        <v>88</v>
      </c>
      <c r="D145" s="12" t="s">
        <v>91</v>
      </c>
      <c r="E145" s="12" t="s">
        <v>116</v>
      </c>
      <c r="F145" s="22">
        <f>15365.8-222.938</f>
        <v>15142.861999999999</v>
      </c>
      <c r="G145" s="28">
        <v>15142.861999999999</v>
      </c>
      <c r="H145" s="28">
        <f t="shared" si="3"/>
        <v>100</v>
      </c>
    </row>
    <row r="146" spans="1:8" ht="46.8" outlineLevel="4">
      <c r="A146" s="11" t="s">
        <v>554</v>
      </c>
      <c r="B146" s="12" t="s">
        <v>598</v>
      </c>
      <c r="C146" s="12"/>
      <c r="D146" s="12"/>
      <c r="E146" s="12"/>
      <c r="F146" s="22">
        <f>F147</f>
        <v>5577.13</v>
      </c>
      <c r="G146" s="22">
        <f>G147</f>
        <v>5577.13</v>
      </c>
      <c r="H146" s="28">
        <f t="shared" si="3"/>
        <v>100</v>
      </c>
    </row>
    <row r="147" spans="1:8" ht="31.2" outlineLevel="4">
      <c r="A147" s="11" t="s">
        <v>87</v>
      </c>
      <c r="B147" s="12" t="s">
        <v>598</v>
      </c>
      <c r="C147" s="12" t="s">
        <v>88</v>
      </c>
      <c r="D147" s="12" t="s">
        <v>91</v>
      </c>
      <c r="E147" s="12" t="s">
        <v>116</v>
      </c>
      <c r="F147" s="22">
        <f>5582.1-4.97</f>
        <v>5577.13</v>
      </c>
      <c r="G147" s="22">
        <f>5582.1-4.97</f>
        <v>5577.13</v>
      </c>
      <c r="H147" s="28">
        <f t="shared" si="3"/>
        <v>100</v>
      </c>
    </row>
    <row r="148" spans="1:8" outlineLevel="4">
      <c r="A148" s="19" t="s">
        <v>597</v>
      </c>
      <c r="B148" s="12" t="s">
        <v>599</v>
      </c>
      <c r="C148" s="12"/>
      <c r="D148" s="12"/>
      <c r="E148" s="12"/>
      <c r="F148" s="22">
        <f>F149</f>
        <v>2672.2779999999998</v>
      </c>
      <c r="G148" s="22">
        <f>G149</f>
        <v>2672.2779999999998</v>
      </c>
      <c r="H148" s="28">
        <f t="shared" si="3"/>
        <v>100</v>
      </c>
    </row>
    <row r="149" spans="1:8" ht="31.2" outlineLevel="4">
      <c r="A149" s="19" t="s">
        <v>560</v>
      </c>
      <c r="B149" s="12" t="s">
        <v>599</v>
      </c>
      <c r="C149" s="12" t="s">
        <v>88</v>
      </c>
      <c r="D149" s="12" t="s">
        <v>91</v>
      </c>
      <c r="E149" s="12" t="s">
        <v>116</v>
      </c>
      <c r="F149" s="22">
        <f>2711.6-39.322</f>
        <v>2672.2779999999998</v>
      </c>
      <c r="G149" s="22">
        <f>2711.6-39.322</f>
        <v>2672.2779999999998</v>
      </c>
      <c r="H149" s="28">
        <f t="shared" si="3"/>
        <v>100</v>
      </c>
    </row>
    <row r="150" spans="1:8" s="8" customFormat="1" ht="31.2" outlineLevel="1">
      <c r="A150" s="13" t="s">
        <v>216</v>
      </c>
      <c r="B150" s="14" t="s">
        <v>217</v>
      </c>
      <c r="C150" s="14"/>
      <c r="D150" s="14"/>
      <c r="E150" s="14"/>
      <c r="F150" s="24">
        <f>F151</f>
        <v>1890</v>
      </c>
      <c r="G150" s="24">
        <f>G151</f>
        <v>1890</v>
      </c>
      <c r="H150" s="30">
        <f t="shared" si="3"/>
        <v>100</v>
      </c>
    </row>
    <row r="151" spans="1:8" ht="31.2" outlineLevel="2">
      <c r="A151" s="11" t="s">
        <v>218</v>
      </c>
      <c r="B151" s="12" t="s">
        <v>219</v>
      </c>
      <c r="C151" s="12"/>
      <c r="D151" s="12"/>
      <c r="E151" s="12"/>
      <c r="F151" s="22">
        <f>F154+F152</f>
        <v>1890</v>
      </c>
      <c r="G151" s="22">
        <f>G154+G152</f>
        <v>1890</v>
      </c>
      <c r="H151" s="28">
        <f t="shared" si="3"/>
        <v>100</v>
      </c>
    </row>
    <row r="152" spans="1:8" outlineLevel="2">
      <c r="A152" s="19" t="s">
        <v>580</v>
      </c>
      <c r="B152" s="20" t="s">
        <v>582</v>
      </c>
      <c r="C152" s="12"/>
      <c r="D152" s="12"/>
      <c r="E152" s="12"/>
      <c r="F152" s="22">
        <f>F153</f>
        <v>1606.5</v>
      </c>
      <c r="G152" s="22">
        <f>G153</f>
        <v>1606.5</v>
      </c>
      <c r="H152" s="28">
        <f t="shared" si="3"/>
        <v>100</v>
      </c>
    </row>
    <row r="153" spans="1:8" ht="31.2" outlineLevel="2">
      <c r="A153" s="19" t="s">
        <v>581</v>
      </c>
      <c r="B153" s="20" t="s">
        <v>582</v>
      </c>
      <c r="C153" s="12" t="s">
        <v>162</v>
      </c>
      <c r="D153" s="12" t="s">
        <v>163</v>
      </c>
      <c r="E153" s="12" t="s">
        <v>154</v>
      </c>
      <c r="F153" s="22">
        <v>1606.5</v>
      </c>
      <c r="G153" s="22">
        <v>1606.5</v>
      </c>
      <c r="H153" s="28">
        <f t="shared" si="3"/>
        <v>100</v>
      </c>
    </row>
    <row r="154" spans="1:8" ht="31.2" outlineLevel="3">
      <c r="A154" s="11" t="s">
        <v>220</v>
      </c>
      <c r="B154" s="12" t="s">
        <v>221</v>
      </c>
      <c r="C154" s="12"/>
      <c r="D154" s="12"/>
      <c r="E154" s="12"/>
      <c r="F154" s="22">
        <f>F155</f>
        <v>283.5</v>
      </c>
      <c r="G154" s="22">
        <f>G155</f>
        <v>283.5</v>
      </c>
      <c r="H154" s="28">
        <f t="shared" si="3"/>
        <v>100</v>
      </c>
    </row>
    <row r="155" spans="1:8" ht="31.2" outlineLevel="4">
      <c r="A155" s="11" t="s">
        <v>161</v>
      </c>
      <c r="B155" s="12" t="s">
        <v>221</v>
      </c>
      <c r="C155" s="12" t="s">
        <v>162</v>
      </c>
      <c r="D155" s="12" t="s">
        <v>163</v>
      </c>
      <c r="E155" s="12" t="s">
        <v>154</v>
      </c>
      <c r="F155" s="22">
        <v>283.5</v>
      </c>
      <c r="G155" s="22">
        <v>283.5</v>
      </c>
      <c r="H155" s="28">
        <f t="shared" si="3"/>
        <v>100</v>
      </c>
    </row>
    <row r="156" spans="1:8" ht="62.4">
      <c r="A156" s="9" t="s">
        <v>222</v>
      </c>
      <c r="B156" s="10" t="s">
        <v>223</v>
      </c>
      <c r="C156" s="10"/>
      <c r="D156" s="10"/>
      <c r="E156" s="10"/>
      <c r="F156" s="23">
        <f>F157+F166+F171+F179</f>
        <v>22428.125</v>
      </c>
      <c r="G156" s="23">
        <f>G157+G166+G171+G179</f>
        <v>21286.51153</v>
      </c>
      <c r="H156" s="29">
        <f t="shared" si="3"/>
        <v>94.909902321304159</v>
      </c>
    </row>
    <row r="157" spans="1:8" ht="46.8" outlineLevel="2">
      <c r="A157" s="11" t="s">
        <v>224</v>
      </c>
      <c r="B157" s="12" t="s">
        <v>225</v>
      </c>
      <c r="C157" s="12"/>
      <c r="D157" s="12"/>
      <c r="E157" s="12"/>
      <c r="F157" s="22">
        <f>F158+F160+F162+F164</f>
        <v>1232</v>
      </c>
      <c r="G157" s="22">
        <f>G158+G160+G162+G164</f>
        <v>1055.1270099999999</v>
      </c>
      <c r="H157" s="28">
        <f t="shared" si="3"/>
        <v>85.64342613636363</v>
      </c>
    </row>
    <row r="158" spans="1:8" ht="31.2" outlineLevel="3">
      <c r="A158" s="11" t="s">
        <v>226</v>
      </c>
      <c r="B158" s="12" t="s">
        <v>227</v>
      </c>
      <c r="C158" s="12"/>
      <c r="D158" s="12"/>
      <c r="E158" s="12"/>
      <c r="F158" s="22">
        <f>F159</f>
        <v>223.2</v>
      </c>
      <c r="G158" s="22">
        <f>G159</f>
        <v>197.94499999999999</v>
      </c>
      <c r="H158" s="28">
        <f t="shared" si="3"/>
        <v>88.685035842293914</v>
      </c>
    </row>
    <row r="159" spans="1:8" ht="31.2" outlineLevel="4">
      <c r="A159" s="11" t="s">
        <v>105</v>
      </c>
      <c r="B159" s="12" t="s">
        <v>227</v>
      </c>
      <c r="C159" s="12" t="s">
        <v>106</v>
      </c>
      <c r="D159" s="12" t="s">
        <v>116</v>
      </c>
      <c r="E159" s="12" t="s">
        <v>228</v>
      </c>
      <c r="F159" s="22">
        <f>153+70.2</f>
        <v>223.2</v>
      </c>
      <c r="G159" s="28">
        <v>197.94499999999999</v>
      </c>
      <c r="H159" s="28">
        <f t="shared" si="3"/>
        <v>88.685035842293914</v>
      </c>
    </row>
    <row r="160" spans="1:8" outlineLevel="3">
      <c r="A160" s="11" t="s">
        <v>229</v>
      </c>
      <c r="B160" s="12" t="s">
        <v>230</v>
      </c>
      <c r="C160" s="12"/>
      <c r="D160" s="12"/>
      <c r="E160" s="12"/>
      <c r="F160" s="22">
        <f>F161</f>
        <v>225</v>
      </c>
      <c r="G160" s="22">
        <f>G161</f>
        <v>139.53684000000001</v>
      </c>
      <c r="H160" s="28">
        <f t="shared" si="3"/>
        <v>62.016373333333341</v>
      </c>
    </row>
    <row r="161" spans="1:8" ht="31.2" outlineLevel="4">
      <c r="A161" s="11" t="s">
        <v>105</v>
      </c>
      <c r="B161" s="12" t="s">
        <v>230</v>
      </c>
      <c r="C161" s="12" t="s">
        <v>106</v>
      </c>
      <c r="D161" s="12" t="s">
        <v>116</v>
      </c>
      <c r="E161" s="12" t="s">
        <v>228</v>
      </c>
      <c r="F161" s="22">
        <v>225</v>
      </c>
      <c r="G161" s="28">
        <v>139.53684000000001</v>
      </c>
      <c r="H161" s="28">
        <f t="shared" si="3"/>
        <v>62.016373333333341</v>
      </c>
    </row>
    <row r="162" spans="1:8" ht="31.2" outlineLevel="3">
      <c r="A162" s="11" t="s">
        <v>231</v>
      </c>
      <c r="B162" s="12" t="s">
        <v>232</v>
      </c>
      <c r="C162" s="12"/>
      <c r="D162" s="12"/>
      <c r="E162" s="12"/>
      <c r="F162" s="22">
        <f>F163</f>
        <v>392.5</v>
      </c>
      <c r="G162" s="22">
        <f>G163</f>
        <v>326.39999999999998</v>
      </c>
      <c r="H162" s="28">
        <f t="shared" si="3"/>
        <v>83.159235668789805</v>
      </c>
    </row>
    <row r="163" spans="1:8" ht="31.2" outlineLevel="4">
      <c r="A163" s="11" t="s">
        <v>105</v>
      </c>
      <c r="B163" s="12" t="s">
        <v>232</v>
      </c>
      <c r="C163" s="12" t="s">
        <v>106</v>
      </c>
      <c r="D163" s="12" t="s">
        <v>116</v>
      </c>
      <c r="E163" s="12" t="s">
        <v>228</v>
      </c>
      <c r="F163" s="22">
        <v>392.5</v>
      </c>
      <c r="G163" s="28">
        <v>326.39999999999998</v>
      </c>
      <c r="H163" s="28">
        <f t="shared" si="3"/>
        <v>83.159235668789805</v>
      </c>
    </row>
    <row r="164" spans="1:8" ht="46.8" outlineLevel="4">
      <c r="A164" s="19" t="s">
        <v>555</v>
      </c>
      <c r="B164" s="12" t="s">
        <v>557</v>
      </c>
      <c r="C164" s="12"/>
      <c r="D164" s="12"/>
      <c r="E164" s="12"/>
      <c r="F164" s="22">
        <f>F165</f>
        <v>391.29999999999995</v>
      </c>
      <c r="G164" s="22">
        <f>G165</f>
        <v>391.24516999999997</v>
      </c>
      <c r="H164" s="28">
        <f t="shared" si="3"/>
        <v>99.985987733197035</v>
      </c>
    </row>
    <row r="165" spans="1:8" ht="31.2" outlineLevel="4">
      <c r="A165" s="19" t="s">
        <v>556</v>
      </c>
      <c r="B165" s="12" t="s">
        <v>557</v>
      </c>
      <c r="C165" s="12" t="s">
        <v>106</v>
      </c>
      <c r="D165" s="12" t="s">
        <v>89</v>
      </c>
      <c r="E165" s="12" t="s">
        <v>90</v>
      </c>
      <c r="F165" s="22">
        <f>772.3-381</f>
        <v>391.29999999999995</v>
      </c>
      <c r="G165" s="28">
        <v>391.24516999999997</v>
      </c>
      <c r="H165" s="28">
        <f t="shared" si="3"/>
        <v>99.985987733197035</v>
      </c>
    </row>
    <row r="166" spans="1:8" ht="31.2" outlineLevel="2">
      <c r="A166" s="11" t="s">
        <v>233</v>
      </c>
      <c r="B166" s="12" t="s">
        <v>234</v>
      </c>
      <c r="C166" s="12"/>
      <c r="D166" s="12"/>
      <c r="E166" s="12"/>
      <c r="F166" s="22">
        <f>F167+F169</f>
        <v>460.3</v>
      </c>
      <c r="G166" s="22">
        <f>G167+G169</f>
        <v>423.95254999999997</v>
      </c>
      <c r="H166" s="28">
        <f t="shared" si="3"/>
        <v>92.103530306321957</v>
      </c>
    </row>
    <row r="167" spans="1:8" ht="31.2" outlineLevel="3">
      <c r="A167" s="11" t="s">
        <v>235</v>
      </c>
      <c r="B167" s="12" t="s">
        <v>236</v>
      </c>
      <c r="C167" s="12"/>
      <c r="D167" s="12"/>
      <c r="E167" s="12"/>
      <c r="F167" s="22">
        <f>F168</f>
        <v>32</v>
      </c>
      <c r="G167" s="22">
        <f>G168</f>
        <v>28.965</v>
      </c>
      <c r="H167" s="28">
        <f t="shared" si="3"/>
        <v>90.515625</v>
      </c>
    </row>
    <row r="168" spans="1:8" outlineLevel="4">
      <c r="A168" s="11" t="s">
        <v>168</v>
      </c>
      <c r="B168" s="12" t="s">
        <v>236</v>
      </c>
      <c r="C168" s="12" t="s">
        <v>169</v>
      </c>
      <c r="D168" s="12" t="s">
        <v>116</v>
      </c>
      <c r="E168" s="12" t="s">
        <v>228</v>
      </c>
      <c r="F168" s="22">
        <v>32</v>
      </c>
      <c r="G168" s="28">
        <v>28.965</v>
      </c>
      <c r="H168" s="28">
        <f t="shared" si="3"/>
        <v>90.515625</v>
      </c>
    </row>
    <row r="169" spans="1:8" ht="46.8" outlineLevel="3">
      <c r="A169" s="11" t="s">
        <v>237</v>
      </c>
      <c r="B169" s="12" t="s">
        <v>238</v>
      </c>
      <c r="C169" s="12"/>
      <c r="D169" s="12"/>
      <c r="E169" s="12"/>
      <c r="F169" s="22">
        <f>F170</f>
        <v>428.3</v>
      </c>
      <c r="G169" s="22">
        <f>G170</f>
        <v>394.98755</v>
      </c>
      <c r="H169" s="28">
        <f t="shared" si="3"/>
        <v>92.222169040392245</v>
      </c>
    </row>
    <row r="170" spans="1:8" ht="31.2" outlineLevel="4">
      <c r="A170" s="11" t="s">
        <v>105</v>
      </c>
      <c r="B170" s="12" t="s">
        <v>238</v>
      </c>
      <c r="C170" s="12" t="s">
        <v>106</v>
      </c>
      <c r="D170" s="12" t="s">
        <v>116</v>
      </c>
      <c r="E170" s="12" t="s">
        <v>228</v>
      </c>
      <c r="F170" s="22">
        <f>117.5+310.8</f>
        <v>428.3</v>
      </c>
      <c r="G170" s="28">
        <v>394.98755</v>
      </c>
      <c r="H170" s="28">
        <f t="shared" si="3"/>
        <v>92.222169040392245</v>
      </c>
    </row>
    <row r="171" spans="1:8" ht="31.2" outlineLevel="2">
      <c r="A171" s="11" t="s">
        <v>185</v>
      </c>
      <c r="B171" s="12" t="s">
        <v>239</v>
      </c>
      <c r="C171" s="12"/>
      <c r="D171" s="12"/>
      <c r="E171" s="12"/>
      <c r="F171" s="22">
        <f>F172+F174+F177</f>
        <v>16306.5</v>
      </c>
      <c r="G171" s="22">
        <f>G172+G174+G177</f>
        <v>15378.106970000001</v>
      </c>
      <c r="H171" s="28">
        <f t="shared" si="3"/>
        <v>94.306607610462095</v>
      </c>
    </row>
    <row r="172" spans="1:8" ht="31.2" outlineLevel="3">
      <c r="A172" s="11" t="s">
        <v>187</v>
      </c>
      <c r="B172" s="12" t="s">
        <v>240</v>
      </c>
      <c r="C172" s="12"/>
      <c r="D172" s="12"/>
      <c r="E172" s="12"/>
      <c r="F172" s="22">
        <f>F173</f>
        <v>9529</v>
      </c>
      <c r="G172" s="22">
        <f>G173</f>
        <v>8921.2620000000006</v>
      </c>
      <c r="H172" s="28">
        <f t="shared" si="3"/>
        <v>93.622226886346951</v>
      </c>
    </row>
    <row r="173" spans="1:8" ht="93.6" outlineLevel="4">
      <c r="A173" s="11" t="s">
        <v>189</v>
      </c>
      <c r="B173" s="12" t="s">
        <v>240</v>
      </c>
      <c r="C173" s="12" t="s">
        <v>190</v>
      </c>
      <c r="D173" s="12" t="s">
        <v>116</v>
      </c>
      <c r="E173" s="12" t="s">
        <v>228</v>
      </c>
      <c r="F173" s="22">
        <v>9529</v>
      </c>
      <c r="G173" s="28">
        <v>8921.2620000000006</v>
      </c>
      <c r="H173" s="28">
        <f t="shared" si="3"/>
        <v>93.622226886346951</v>
      </c>
    </row>
    <row r="174" spans="1:8" ht="31.2" outlineLevel="3">
      <c r="A174" s="11" t="s">
        <v>191</v>
      </c>
      <c r="B174" s="12" t="s">
        <v>241</v>
      </c>
      <c r="C174" s="12"/>
      <c r="D174" s="12"/>
      <c r="E174" s="12"/>
      <c r="F174" s="22">
        <f>F175+F176</f>
        <v>746.1</v>
      </c>
      <c r="G174" s="22">
        <f>G175+G176</f>
        <v>745.81413999999995</v>
      </c>
      <c r="H174" s="28">
        <f t="shared" si="3"/>
        <v>99.961686101058831</v>
      </c>
    </row>
    <row r="175" spans="1:8" ht="31.2" outlineLevel="4">
      <c r="A175" s="11" t="s">
        <v>105</v>
      </c>
      <c r="B175" s="12" t="s">
        <v>241</v>
      </c>
      <c r="C175" s="12" t="s">
        <v>106</v>
      </c>
      <c r="D175" s="12" t="s">
        <v>116</v>
      </c>
      <c r="E175" s="12" t="s">
        <v>228</v>
      </c>
      <c r="F175" s="22">
        <v>745.7</v>
      </c>
      <c r="G175" s="28">
        <v>745.62666999999999</v>
      </c>
      <c r="H175" s="28">
        <f t="shared" si="3"/>
        <v>99.990166286710462</v>
      </c>
    </row>
    <row r="176" spans="1:8" outlineLevel="4">
      <c r="A176" s="11" t="s">
        <v>168</v>
      </c>
      <c r="B176" s="12" t="s">
        <v>241</v>
      </c>
      <c r="C176" s="12" t="s">
        <v>169</v>
      </c>
      <c r="D176" s="12" t="s">
        <v>116</v>
      </c>
      <c r="E176" s="12" t="s">
        <v>228</v>
      </c>
      <c r="F176" s="22">
        <v>0.4</v>
      </c>
      <c r="G176" s="28">
        <v>0.18747</v>
      </c>
      <c r="H176" s="28">
        <f t="shared" si="3"/>
        <v>46.867499999999993</v>
      </c>
    </row>
    <row r="177" spans="1:8" outlineLevel="3">
      <c r="A177" s="11" t="s">
        <v>242</v>
      </c>
      <c r="B177" s="12" t="s">
        <v>243</v>
      </c>
      <c r="C177" s="12"/>
      <c r="D177" s="12"/>
      <c r="E177" s="12"/>
      <c r="F177" s="22">
        <f>F178</f>
        <v>6031.4</v>
      </c>
      <c r="G177" s="22">
        <f>G178</f>
        <v>5711.0308299999997</v>
      </c>
      <c r="H177" s="28">
        <f t="shared" si="3"/>
        <v>94.688311668932585</v>
      </c>
    </row>
    <row r="178" spans="1:8" outlineLevel="4">
      <c r="A178" s="11" t="s">
        <v>168</v>
      </c>
      <c r="B178" s="12" t="s">
        <v>243</v>
      </c>
      <c r="C178" s="12" t="s">
        <v>169</v>
      </c>
      <c r="D178" s="12" t="s">
        <v>116</v>
      </c>
      <c r="E178" s="12" t="s">
        <v>228</v>
      </c>
      <c r="F178" s="22">
        <f>3419.2+2332+280.2</f>
        <v>6031.4</v>
      </c>
      <c r="G178" s="28">
        <v>5711.0308299999997</v>
      </c>
      <c r="H178" s="28">
        <f t="shared" si="3"/>
        <v>94.688311668932585</v>
      </c>
    </row>
    <row r="179" spans="1:8" ht="31.2" outlineLevel="4">
      <c r="A179" s="19" t="s">
        <v>583</v>
      </c>
      <c r="B179" s="12" t="s">
        <v>584</v>
      </c>
      <c r="C179" s="12"/>
      <c r="D179" s="12"/>
      <c r="E179" s="12"/>
      <c r="F179" s="22">
        <f>F180</f>
        <v>4429.3249999999998</v>
      </c>
      <c r="G179" s="22">
        <f>G180</f>
        <v>4429.3249999999998</v>
      </c>
      <c r="H179" s="28">
        <f t="shared" si="3"/>
        <v>100</v>
      </c>
    </row>
    <row r="180" spans="1:8" ht="46.8" outlineLevel="4">
      <c r="A180" s="19" t="s">
        <v>585</v>
      </c>
      <c r="B180" s="12" t="s">
        <v>586</v>
      </c>
      <c r="C180" s="12"/>
      <c r="D180" s="12"/>
      <c r="E180" s="12"/>
      <c r="F180" s="22">
        <f>F182+F181</f>
        <v>4429.3249999999998</v>
      </c>
      <c r="G180" s="22">
        <f>G182+G181</f>
        <v>4429.3249999999998</v>
      </c>
      <c r="H180" s="28">
        <f t="shared" si="3"/>
        <v>100</v>
      </c>
    </row>
    <row r="181" spans="1:8" ht="31.2" outlineLevel="4">
      <c r="A181" s="11" t="s">
        <v>105</v>
      </c>
      <c r="B181" s="12" t="s">
        <v>586</v>
      </c>
      <c r="C181" s="12" t="s">
        <v>106</v>
      </c>
      <c r="D181" s="12" t="s">
        <v>116</v>
      </c>
      <c r="E181" s="12" t="s">
        <v>228</v>
      </c>
      <c r="F181" s="22">
        <v>92.462220000000002</v>
      </c>
      <c r="G181" s="22">
        <v>92.462220000000002</v>
      </c>
      <c r="H181" s="28">
        <f t="shared" si="3"/>
        <v>100</v>
      </c>
    </row>
    <row r="182" spans="1:8" ht="31.2" outlineLevel="4">
      <c r="A182" s="19" t="s">
        <v>560</v>
      </c>
      <c r="B182" s="12" t="s">
        <v>586</v>
      </c>
      <c r="C182" s="12" t="s">
        <v>88</v>
      </c>
      <c r="D182" s="12" t="s">
        <v>116</v>
      </c>
      <c r="E182" s="12" t="s">
        <v>228</v>
      </c>
      <c r="F182" s="22">
        <f>4429.325-92.46222</f>
        <v>4336.8627799999995</v>
      </c>
      <c r="G182" s="22">
        <f>4429.325-92.46222</f>
        <v>4336.8627799999995</v>
      </c>
      <c r="H182" s="28">
        <f t="shared" si="3"/>
        <v>100</v>
      </c>
    </row>
    <row r="183" spans="1:8" ht="31.2">
      <c r="A183" s="9" t="s">
        <v>244</v>
      </c>
      <c r="B183" s="10" t="s">
        <v>245</v>
      </c>
      <c r="C183" s="10"/>
      <c r="D183" s="10"/>
      <c r="E183" s="10"/>
      <c r="F183" s="23">
        <f>F184+F189+F200+F213</f>
        <v>147143.4</v>
      </c>
      <c r="G183" s="23">
        <f>G184+G189+G200+G213</f>
        <v>145439.39533</v>
      </c>
      <c r="H183" s="29">
        <f t="shared" si="3"/>
        <v>98.841942846230282</v>
      </c>
    </row>
    <row r="184" spans="1:8" ht="62.4" outlineLevel="2">
      <c r="A184" s="11" t="s">
        <v>246</v>
      </c>
      <c r="B184" s="12" t="s">
        <v>247</v>
      </c>
      <c r="C184" s="12"/>
      <c r="D184" s="12"/>
      <c r="E184" s="12"/>
      <c r="F184" s="22">
        <f>F185+F187</f>
        <v>34671.199999999997</v>
      </c>
      <c r="G184" s="22">
        <f>G185+G187</f>
        <v>34582.128830000001</v>
      </c>
      <c r="H184" s="28">
        <f t="shared" si="3"/>
        <v>99.743097527631022</v>
      </c>
    </row>
    <row r="185" spans="1:8" ht="78" outlineLevel="3">
      <c r="A185" s="11" t="s">
        <v>248</v>
      </c>
      <c r="B185" s="12" t="s">
        <v>249</v>
      </c>
      <c r="C185" s="12"/>
      <c r="D185" s="12"/>
      <c r="E185" s="12"/>
      <c r="F185" s="22">
        <f>F186</f>
        <v>5600</v>
      </c>
      <c r="G185" s="22">
        <f>G186</f>
        <v>5600</v>
      </c>
      <c r="H185" s="28">
        <f t="shared" si="3"/>
        <v>100</v>
      </c>
    </row>
    <row r="186" spans="1:8" ht="62.4" outlineLevel="4">
      <c r="A186" s="11" t="s">
        <v>119</v>
      </c>
      <c r="B186" s="12" t="s">
        <v>249</v>
      </c>
      <c r="C186" s="12" t="s">
        <v>120</v>
      </c>
      <c r="D186" s="12" t="s">
        <v>250</v>
      </c>
      <c r="E186" s="12" t="s">
        <v>92</v>
      </c>
      <c r="F186" s="22">
        <f>4200+300+533.8+566.2</f>
        <v>5600</v>
      </c>
      <c r="G186" s="22">
        <f>4200+300+533.8+566.2</f>
        <v>5600</v>
      </c>
      <c r="H186" s="28">
        <f t="shared" si="3"/>
        <v>100</v>
      </c>
    </row>
    <row r="187" spans="1:8" ht="31.2" outlineLevel="3">
      <c r="A187" s="11" t="s">
        <v>251</v>
      </c>
      <c r="B187" s="12" t="s">
        <v>252</v>
      </c>
      <c r="C187" s="12"/>
      <c r="D187" s="12"/>
      <c r="E187" s="12"/>
      <c r="F187" s="22">
        <f>F188</f>
        <v>29071.200000000001</v>
      </c>
      <c r="G187" s="22">
        <f>G188</f>
        <v>28982.128830000001</v>
      </c>
      <c r="H187" s="28">
        <f t="shared" si="3"/>
        <v>99.6936102740857</v>
      </c>
    </row>
    <row r="188" spans="1:8" ht="62.4" outlineLevel="4">
      <c r="A188" s="11" t="s">
        <v>119</v>
      </c>
      <c r="B188" s="12" t="s">
        <v>252</v>
      </c>
      <c r="C188" s="12" t="s">
        <v>120</v>
      </c>
      <c r="D188" s="12" t="s">
        <v>250</v>
      </c>
      <c r="E188" s="12" t="s">
        <v>92</v>
      </c>
      <c r="F188" s="22">
        <f>28475-173.8+770</f>
        <v>29071.200000000001</v>
      </c>
      <c r="G188" s="28">
        <v>28982.128830000001</v>
      </c>
      <c r="H188" s="28">
        <f t="shared" si="3"/>
        <v>99.6936102740857</v>
      </c>
    </row>
    <row r="189" spans="1:8" ht="46.8" outlineLevel="2">
      <c r="A189" s="11" t="s">
        <v>253</v>
      </c>
      <c r="B189" s="12" t="s">
        <v>254</v>
      </c>
      <c r="C189" s="12"/>
      <c r="D189" s="12"/>
      <c r="E189" s="12"/>
      <c r="F189" s="22">
        <f>F190+F192+F194+F196+F198</f>
        <v>23907</v>
      </c>
      <c r="G189" s="22">
        <f>G190+G192+G194+G196+G198</f>
        <v>22752.028740000002</v>
      </c>
      <c r="H189" s="28">
        <f t="shared" si="3"/>
        <v>95.168899234533825</v>
      </c>
    </row>
    <row r="190" spans="1:8" ht="31.2" outlineLevel="3">
      <c r="A190" s="11" t="s">
        <v>255</v>
      </c>
      <c r="B190" s="12" t="s">
        <v>256</v>
      </c>
      <c r="C190" s="12"/>
      <c r="D190" s="12"/>
      <c r="E190" s="12"/>
      <c r="F190" s="22">
        <f>F191</f>
        <v>13</v>
      </c>
      <c r="G190" s="22">
        <f>G191</f>
        <v>13</v>
      </c>
      <c r="H190" s="28">
        <f t="shared" si="3"/>
        <v>100</v>
      </c>
    </row>
    <row r="191" spans="1:8" ht="62.4" outlineLevel="4">
      <c r="A191" s="11" t="s">
        <v>119</v>
      </c>
      <c r="B191" s="12" t="s">
        <v>256</v>
      </c>
      <c r="C191" s="12" t="s">
        <v>120</v>
      </c>
      <c r="D191" s="12" t="s">
        <v>170</v>
      </c>
      <c r="E191" s="12" t="s">
        <v>116</v>
      </c>
      <c r="F191" s="22">
        <f>14.5-1.5</f>
        <v>13</v>
      </c>
      <c r="G191" s="22">
        <f>14.5-1.5</f>
        <v>13</v>
      </c>
      <c r="H191" s="28">
        <f t="shared" si="3"/>
        <v>100</v>
      </c>
    </row>
    <row r="192" spans="1:8" ht="62.4" outlineLevel="3">
      <c r="A192" s="11" t="s">
        <v>257</v>
      </c>
      <c r="B192" s="12" t="s">
        <v>258</v>
      </c>
      <c r="C192" s="12"/>
      <c r="D192" s="12"/>
      <c r="E192" s="12"/>
      <c r="F192" s="22">
        <f>F193</f>
        <v>4</v>
      </c>
      <c r="G192" s="22">
        <f>G193</f>
        <v>4</v>
      </c>
      <c r="H192" s="28">
        <f t="shared" si="3"/>
        <v>100</v>
      </c>
    </row>
    <row r="193" spans="1:8" ht="62.4" outlineLevel="4">
      <c r="A193" s="11" t="s">
        <v>119</v>
      </c>
      <c r="B193" s="12" t="s">
        <v>258</v>
      </c>
      <c r="C193" s="12" t="s">
        <v>120</v>
      </c>
      <c r="D193" s="12" t="s">
        <v>170</v>
      </c>
      <c r="E193" s="12" t="s">
        <v>116</v>
      </c>
      <c r="F193" s="22">
        <f>5-1</f>
        <v>4</v>
      </c>
      <c r="G193" s="22">
        <f>5-1</f>
        <v>4</v>
      </c>
      <c r="H193" s="28">
        <f t="shared" si="3"/>
        <v>100</v>
      </c>
    </row>
    <row r="194" spans="1:8" ht="93.6" outlineLevel="3">
      <c r="A194" s="11" t="s">
        <v>259</v>
      </c>
      <c r="B194" s="12" t="s">
        <v>260</v>
      </c>
      <c r="C194" s="12"/>
      <c r="D194" s="12"/>
      <c r="E194" s="12"/>
      <c r="F194" s="22">
        <f>F195</f>
        <v>88</v>
      </c>
      <c r="G194" s="22">
        <f>G195</f>
        <v>80.466999999999999</v>
      </c>
      <c r="H194" s="28">
        <f t="shared" si="3"/>
        <v>91.439772727272725</v>
      </c>
    </row>
    <row r="195" spans="1:8" ht="62.4" outlineLevel="4">
      <c r="A195" s="11" t="s">
        <v>119</v>
      </c>
      <c r="B195" s="12" t="s">
        <v>260</v>
      </c>
      <c r="C195" s="12" t="s">
        <v>120</v>
      </c>
      <c r="D195" s="12" t="s">
        <v>170</v>
      </c>
      <c r="E195" s="12" t="s">
        <v>116</v>
      </c>
      <c r="F195" s="22">
        <v>88</v>
      </c>
      <c r="G195" s="28">
        <v>80.466999999999999</v>
      </c>
      <c r="H195" s="28">
        <f t="shared" si="3"/>
        <v>91.439772727272725</v>
      </c>
    </row>
    <row r="196" spans="1:8" ht="78" outlineLevel="3">
      <c r="A196" s="11" t="s">
        <v>248</v>
      </c>
      <c r="B196" s="12" t="s">
        <v>261</v>
      </c>
      <c r="C196" s="12"/>
      <c r="D196" s="12"/>
      <c r="E196" s="12"/>
      <c r="F196" s="22">
        <f>F197</f>
        <v>3500</v>
      </c>
      <c r="G196" s="22">
        <f>G197</f>
        <v>3500</v>
      </c>
      <c r="H196" s="28">
        <f t="shared" si="3"/>
        <v>100</v>
      </c>
    </row>
    <row r="197" spans="1:8" ht="62.4" outlineLevel="4">
      <c r="A197" s="11" t="s">
        <v>119</v>
      </c>
      <c r="B197" s="12" t="s">
        <v>261</v>
      </c>
      <c r="C197" s="12" t="s">
        <v>120</v>
      </c>
      <c r="D197" s="12" t="s">
        <v>170</v>
      </c>
      <c r="E197" s="12" t="s">
        <v>116</v>
      </c>
      <c r="F197" s="22">
        <v>3500</v>
      </c>
      <c r="G197" s="22">
        <v>3500</v>
      </c>
      <c r="H197" s="28">
        <f t="shared" si="3"/>
        <v>100</v>
      </c>
    </row>
    <row r="198" spans="1:8" ht="31.2" outlineLevel="3">
      <c r="A198" s="11" t="s">
        <v>262</v>
      </c>
      <c r="B198" s="12" t="s">
        <v>263</v>
      </c>
      <c r="C198" s="12"/>
      <c r="D198" s="12"/>
      <c r="E198" s="12"/>
      <c r="F198" s="22">
        <f>F199</f>
        <v>20302</v>
      </c>
      <c r="G198" s="22">
        <f>G199</f>
        <v>19154.561740000001</v>
      </c>
      <c r="H198" s="28">
        <f t="shared" si="3"/>
        <v>94.348151610678755</v>
      </c>
    </row>
    <row r="199" spans="1:8" ht="62.4" outlineLevel="4">
      <c r="A199" s="11" t="s">
        <v>119</v>
      </c>
      <c r="B199" s="12" t="s">
        <v>263</v>
      </c>
      <c r="C199" s="12" t="s">
        <v>120</v>
      </c>
      <c r="D199" s="12" t="s">
        <v>170</v>
      </c>
      <c r="E199" s="12" t="s">
        <v>116</v>
      </c>
      <c r="F199" s="22">
        <f>20561.8-259.8</f>
        <v>20302</v>
      </c>
      <c r="G199" s="28">
        <v>19154.561740000001</v>
      </c>
      <c r="H199" s="28">
        <f t="shared" si="3"/>
        <v>94.348151610678755</v>
      </c>
    </row>
    <row r="200" spans="1:8" ht="46.8" outlineLevel="2">
      <c r="A200" s="11" t="s">
        <v>264</v>
      </c>
      <c r="B200" s="12" t="s">
        <v>265</v>
      </c>
      <c r="C200" s="12"/>
      <c r="D200" s="12"/>
      <c r="E200" s="12"/>
      <c r="F200" s="22">
        <f>F201+F203+F205+F211+F207+F209</f>
        <v>79923.299999999988</v>
      </c>
      <c r="G200" s="22">
        <f>G201+G203+G205+G211+G207+G209</f>
        <v>79580.608789999998</v>
      </c>
      <c r="H200" s="28">
        <f t="shared" si="3"/>
        <v>99.571224899372297</v>
      </c>
    </row>
    <row r="201" spans="1:8" ht="31.2" outlineLevel="3">
      <c r="A201" s="11" t="s">
        <v>266</v>
      </c>
      <c r="B201" s="12" t="s">
        <v>267</v>
      </c>
      <c r="C201" s="12"/>
      <c r="D201" s="12"/>
      <c r="E201" s="12"/>
      <c r="F201" s="22">
        <f>F202</f>
        <v>5</v>
      </c>
      <c r="G201" s="22">
        <f>G202</f>
        <v>5</v>
      </c>
      <c r="H201" s="28">
        <f t="shared" si="3"/>
        <v>100</v>
      </c>
    </row>
    <row r="202" spans="1:8" ht="62.4" outlineLevel="4">
      <c r="A202" s="11" t="s">
        <v>119</v>
      </c>
      <c r="B202" s="12" t="s">
        <v>267</v>
      </c>
      <c r="C202" s="12" t="s">
        <v>120</v>
      </c>
      <c r="D202" s="12" t="s">
        <v>170</v>
      </c>
      <c r="E202" s="12" t="s">
        <v>116</v>
      </c>
      <c r="F202" s="22">
        <v>5</v>
      </c>
      <c r="G202" s="22">
        <v>5</v>
      </c>
      <c r="H202" s="28">
        <f t="shared" si="3"/>
        <v>100</v>
      </c>
    </row>
    <row r="203" spans="1:8" ht="93.6" outlineLevel="3">
      <c r="A203" s="11" t="s">
        <v>259</v>
      </c>
      <c r="B203" s="12" t="s">
        <v>268</v>
      </c>
      <c r="C203" s="12"/>
      <c r="D203" s="12"/>
      <c r="E203" s="12"/>
      <c r="F203" s="22">
        <f>F204</f>
        <v>195</v>
      </c>
      <c r="G203" s="22">
        <f>G204</f>
        <v>182.74100000000001</v>
      </c>
      <c r="H203" s="28">
        <f t="shared" ref="H203:H266" si="4">G203/F203*100</f>
        <v>93.713333333333338</v>
      </c>
    </row>
    <row r="204" spans="1:8" ht="62.4" outlineLevel="4">
      <c r="A204" s="11" t="s">
        <v>119</v>
      </c>
      <c r="B204" s="12" t="s">
        <v>268</v>
      </c>
      <c r="C204" s="12" t="s">
        <v>120</v>
      </c>
      <c r="D204" s="12" t="s">
        <v>170</v>
      </c>
      <c r="E204" s="12" t="s">
        <v>116</v>
      </c>
      <c r="F204" s="22">
        <v>195</v>
      </c>
      <c r="G204" s="28">
        <v>182.74100000000001</v>
      </c>
      <c r="H204" s="28">
        <f t="shared" si="4"/>
        <v>93.713333333333338</v>
      </c>
    </row>
    <row r="205" spans="1:8" ht="78" outlineLevel="3">
      <c r="A205" s="11" t="s">
        <v>248</v>
      </c>
      <c r="B205" s="12" t="s">
        <v>269</v>
      </c>
      <c r="C205" s="12"/>
      <c r="D205" s="12"/>
      <c r="E205" s="12"/>
      <c r="F205" s="22">
        <f>F206</f>
        <v>10075</v>
      </c>
      <c r="G205" s="22">
        <f>G206</f>
        <v>10075</v>
      </c>
      <c r="H205" s="28">
        <f t="shared" si="4"/>
        <v>100</v>
      </c>
    </row>
    <row r="206" spans="1:8" ht="62.4" outlineLevel="4">
      <c r="A206" s="11" t="s">
        <v>119</v>
      </c>
      <c r="B206" s="12" t="s">
        <v>269</v>
      </c>
      <c r="C206" s="12" t="s">
        <v>120</v>
      </c>
      <c r="D206" s="12" t="s">
        <v>170</v>
      </c>
      <c r="E206" s="12" t="s">
        <v>116</v>
      </c>
      <c r="F206" s="22">
        <f>9013+1062</f>
        <v>10075</v>
      </c>
      <c r="G206" s="22">
        <f>9013+1062</f>
        <v>10075</v>
      </c>
      <c r="H206" s="28">
        <f t="shared" si="4"/>
        <v>100</v>
      </c>
    </row>
    <row r="207" spans="1:8" ht="46.8" outlineLevel="4">
      <c r="A207" s="19" t="s">
        <v>611</v>
      </c>
      <c r="B207" s="12" t="s">
        <v>612</v>
      </c>
      <c r="C207" s="12"/>
      <c r="D207" s="12"/>
      <c r="E207" s="12"/>
      <c r="F207" s="22">
        <f>F208</f>
        <v>20000</v>
      </c>
      <c r="G207" s="22">
        <f>G208</f>
        <v>20000</v>
      </c>
      <c r="H207" s="28">
        <f t="shared" si="4"/>
        <v>100</v>
      </c>
    </row>
    <row r="208" spans="1:8" ht="62.4" outlineLevel="4">
      <c r="A208" s="19" t="s">
        <v>596</v>
      </c>
      <c r="B208" s="12" t="s">
        <v>612</v>
      </c>
      <c r="C208" s="12" t="s">
        <v>120</v>
      </c>
      <c r="D208" s="12" t="s">
        <v>170</v>
      </c>
      <c r="E208" s="12" t="s">
        <v>116</v>
      </c>
      <c r="F208" s="22">
        <v>20000</v>
      </c>
      <c r="G208" s="22">
        <v>20000</v>
      </c>
      <c r="H208" s="28">
        <f t="shared" si="4"/>
        <v>100</v>
      </c>
    </row>
    <row r="209" spans="1:8" ht="31.2" outlineLevel="4">
      <c r="A209" s="19" t="s">
        <v>618</v>
      </c>
      <c r="B209" s="12" t="s">
        <v>619</v>
      </c>
      <c r="C209" s="12"/>
      <c r="D209" s="12"/>
      <c r="E209" s="12"/>
      <c r="F209" s="22">
        <f>F210</f>
        <v>10000</v>
      </c>
      <c r="G209" s="22">
        <f>G210</f>
        <v>10000</v>
      </c>
      <c r="H209" s="28">
        <f t="shared" si="4"/>
        <v>100</v>
      </c>
    </row>
    <row r="210" spans="1:8" ht="62.4" outlineLevel="4">
      <c r="A210" s="19" t="s">
        <v>596</v>
      </c>
      <c r="B210" s="12" t="s">
        <v>619</v>
      </c>
      <c r="C210" s="12" t="s">
        <v>120</v>
      </c>
      <c r="D210" s="12" t="s">
        <v>170</v>
      </c>
      <c r="E210" s="12" t="s">
        <v>116</v>
      </c>
      <c r="F210" s="22">
        <v>10000</v>
      </c>
      <c r="G210" s="22">
        <v>10000</v>
      </c>
      <c r="H210" s="28">
        <f t="shared" si="4"/>
        <v>100</v>
      </c>
    </row>
    <row r="211" spans="1:8" ht="31.2" outlineLevel="3">
      <c r="A211" s="11" t="s">
        <v>270</v>
      </c>
      <c r="B211" s="12" t="s">
        <v>271</v>
      </c>
      <c r="C211" s="12"/>
      <c r="D211" s="12"/>
      <c r="E211" s="12"/>
      <c r="F211" s="22">
        <f>F212</f>
        <v>39648.299999999996</v>
      </c>
      <c r="G211" s="22">
        <f>G212</f>
        <v>39317.867789999997</v>
      </c>
      <c r="H211" s="28">
        <f t="shared" si="4"/>
        <v>99.166591732810744</v>
      </c>
    </row>
    <row r="212" spans="1:8" ht="62.4" outlineLevel="4">
      <c r="A212" s="11" t="s">
        <v>119</v>
      </c>
      <c r="B212" s="12" t="s">
        <v>271</v>
      </c>
      <c r="C212" s="12" t="s">
        <v>120</v>
      </c>
      <c r="D212" s="12" t="s">
        <v>170</v>
      </c>
      <c r="E212" s="12" t="s">
        <v>116</v>
      </c>
      <c r="F212" s="22">
        <f>38256.6-96.9+10000-9566.4+1825-770</f>
        <v>39648.299999999996</v>
      </c>
      <c r="G212" s="28">
        <v>39317.867789999997</v>
      </c>
      <c r="H212" s="28">
        <f t="shared" si="4"/>
        <v>99.166591732810744</v>
      </c>
    </row>
    <row r="213" spans="1:8" ht="31.2" outlineLevel="2">
      <c r="A213" s="11" t="s">
        <v>185</v>
      </c>
      <c r="B213" s="12" t="s">
        <v>272</v>
      </c>
      <c r="C213" s="12"/>
      <c r="D213" s="12"/>
      <c r="E213" s="12"/>
      <c r="F213" s="22">
        <f>F214+F216+F218+F220</f>
        <v>8641.9</v>
      </c>
      <c r="G213" s="22">
        <f>G214+G216+G218+G220</f>
        <v>8524.6289699999998</v>
      </c>
      <c r="H213" s="28">
        <f t="shared" si="4"/>
        <v>98.642994827526351</v>
      </c>
    </row>
    <row r="214" spans="1:8" ht="31.2" outlineLevel="3">
      <c r="A214" s="11" t="s">
        <v>187</v>
      </c>
      <c r="B214" s="12" t="s">
        <v>273</v>
      </c>
      <c r="C214" s="12"/>
      <c r="D214" s="12"/>
      <c r="E214" s="12"/>
      <c r="F214" s="22">
        <f>F215</f>
        <v>3821</v>
      </c>
      <c r="G214" s="22">
        <f>G215</f>
        <v>3801.3869500000001</v>
      </c>
      <c r="H214" s="28">
        <f t="shared" si="4"/>
        <v>99.486703742475797</v>
      </c>
    </row>
    <row r="215" spans="1:8" ht="93.6" outlineLevel="4">
      <c r="A215" s="11" t="s">
        <v>189</v>
      </c>
      <c r="B215" s="12" t="s">
        <v>273</v>
      </c>
      <c r="C215" s="12" t="s">
        <v>190</v>
      </c>
      <c r="D215" s="12" t="s">
        <v>170</v>
      </c>
      <c r="E215" s="12" t="s">
        <v>89</v>
      </c>
      <c r="F215" s="22">
        <v>3821</v>
      </c>
      <c r="G215" s="28">
        <v>3801.3869500000001</v>
      </c>
      <c r="H215" s="28">
        <f t="shared" si="4"/>
        <v>99.486703742475797</v>
      </c>
    </row>
    <row r="216" spans="1:8" ht="31.2" outlineLevel="3">
      <c r="A216" s="11" t="s">
        <v>191</v>
      </c>
      <c r="B216" s="12" t="s">
        <v>274</v>
      </c>
      <c r="C216" s="12"/>
      <c r="D216" s="12"/>
      <c r="E216" s="12"/>
      <c r="F216" s="22">
        <f>F217</f>
        <v>40</v>
      </c>
      <c r="G216" s="22">
        <f>G217</f>
        <v>35.914200000000001</v>
      </c>
      <c r="H216" s="28">
        <f t="shared" si="4"/>
        <v>89.785500000000013</v>
      </c>
    </row>
    <row r="217" spans="1:8" ht="31.2" outlineLevel="4">
      <c r="A217" s="11" t="s">
        <v>105</v>
      </c>
      <c r="B217" s="12" t="s">
        <v>274</v>
      </c>
      <c r="C217" s="12" t="s">
        <v>106</v>
      </c>
      <c r="D217" s="12" t="s">
        <v>170</v>
      </c>
      <c r="E217" s="12" t="s">
        <v>89</v>
      </c>
      <c r="F217" s="22">
        <v>40</v>
      </c>
      <c r="G217" s="28">
        <v>35.914200000000001</v>
      </c>
      <c r="H217" s="28">
        <f t="shared" si="4"/>
        <v>89.785500000000013</v>
      </c>
    </row>
    <row r="218" spans="1:8" ht="93.6" outlineLevel="3">
      <c r="A218" s="11" t="s">
        <v>259</v>
      </c>
      <c r="B218" s="12" t="s">
        <v>275</v>
      </c>
      <c r="C218" s="12"/>
      <c r="D218" s="12"/>
      <c r="E218" s="12"/>
      <c r="F218" s="22">
        <f>F219</f>
        <v>60.9</v>
      </c>
      <c r="G218" s="22">
        <f>G219</f>
        <v>56.591999999999999</v>
      </c>
      <c r="H218" s="28">
        <f t="shared" si="4"/>
        <v>92.926108374384242</v>
      </c>
    </row>
    <row r="219" spans="1:8" ht="31.2" outlineLevel="4">
      <c r="A219" s="11" t="s">
        <v>161</v>
      </c>
      <c r="B219" s="12" t="s">
        <v>275</v>
      </c>
      <c r="C219" s="12" t="s">
        <v>162</v>
      </c>
      <c r="D219" s="12" t="s">
        <v>163</v>
      </c>
      <c r="E219" s="12" t="s">
        <v>154</v>
      </c>
      <c r="F219" s="22">
        <v>60.9</v>
      </c>
      <c r="G219" s="28">
        <v>56.591999999999999</v>
      </c>
      <c r="H219" s="28">
        <f t="shared" si="4"/>
        <v>92.926108374384242</v>
      </c>
    </row>
    <row r="220" spans="1:8" ht="31.2" outlineLevel="3">
      <c r="A220" s="11" t="s">
        <v>276</v>
      </c>
      <c r="B220" s="12" t="s">
        <v>277</v>
      </c>
      <c r="C220" s="12"/>
      <c r="D220" s="12"/>
      <c r="E220" s="12"/>
      <c r="F220" s="22">
        <f>F221+F222</f>
        <v>4720</v>
      </c>
      <c r="G220" s="22">
        <f>G221+G222</f>
        <v>4630.7358199999999</v>
      </c>
      <c r="H220" s="28">
        <f t="shared" si="4"/>
        <v>98.108809745762699</v>
      </c>
    </row>
    <row r="221" spans="1:8" ht="93.6" outlineLevel="4">
      <c r="A221" s="11" t="s">
        <v>189</v>
      </c>
      <c r="B221" s="12" t="s">
        <v>277</v>
      </c>
      <c r="C221" s="12" t="s">
        <v>190</v>
      </c>
      <c r="D221" s="12" t="s">
        <v>170</v>
      </c>
      <c r="E221" s="12" t="s">
        <v>89</v>
      </c>
      <c r="F221" s="22">
        <f>4152+33.4</f>
        <v>4185.3999999999996</v>
      </c>
      <c r="G221" s="28">
        <v>4168.2799199999999</v>
      </c>
      <c r="H221" s="28">
        <f t="shared" si="4"/>
        <v>99.590957136713342</v>
      </c>
    </row>
    <row r="222" spans="1:8" ht="31.2" outlineLevel="4">
      <c r="A222" s="11" t="s">
        <v>105</v>
      </c>
      <c r="B222" s="12" t="s">
        <v>277</v>
      </c>
      <c r="C222" s="12" t="s">
        <v>106</v>
      </c>
      <c r="D222" s="12" t="s">
        <v>170</v>
      </c>
      <c r="E222" s="12" t="s">
        <v>89</v>
      </c>
      <c r="F222" s="22">
        <f>568-33.4</f>
        <v>534.6</v>
      </c>
      <c r="G222" s="28">
        <v>462.45589999999999</v>
      </c>
      <c r="H222" s="28">
        <f t="shared" si="4"/>
        <v>86.505031799476242</v>
      </c>
    </row>
    <row r="223" spans="1:8" ht="31.2">
      <c r="A223" s="9" t="s">
        <v>278</v>
      </c>
      <c r="B223" s="10" t="s">
        <v>279</v>
      </c>
      <c r="C223" s="10"/>
      <c r="D223" s="10"/>
      <c r="E223" s="10"/>
      <c r="F223" s="23">
        <f>F224+F254+F283</f>
        <v>92468.670599999998</v>
      </c>
      <c r="G223" s="23">
        <f>G224+G254+G283</f>
        <v>88952.682470000014</v>
      </c>
      <c r="H223" s="29">
        <f t="shared" si="4"/>
        <v>96.19764390773021</v>
      </c>
    </row>
    <row r="224" spans="1:8" ht="46.8" outlineLevel="1">
      <c r="A224" s="13" t="s">
        <v>280</v>
      </c>
      <c r="B224" s="14" t="s">
        <v>281</v>
      </c>
      <c r="C224" s="14"/>
      <c r="D224" s="14"/>
      <c r="E224" s="14"/>
      <c r="F224" s="24">
        <f>F225+F236</f>
        <v>33923.271420000005</v>
      </c>
      <c r="G224" s="24">
        <f>G225+G236</f>
        <v>33483.433660000002</v>
      </c>
      <c r="H224" s="30">
        <f t="shared" si="4"/>
        <v>98.703433538132501</v>
      </c>
    </row>
    <row r="225" spans="1:8" ht="31.2" outlineLevel="2">
      <c r="A225" s="11" t="s">
        <v>282</v>
      </c>
      <c r="B225" s="12" t="s">
        <v>283</v>
      </c>
      <c r="C225" s="12"/>
      <c r="D225" s="12"/>
      <c r="E225" s="12"/>
      <c r="F225" s="22">
        <f>F226+F228+F230+F232+F234</f>
        <v>28341.455420000006</v>
      </c>
      <c r="G225" s="22">
        <f>G226+G228+G230+G232+G234</f>
        <v>27972.377660000002</v>
      </c>
      <c r="H225" s="28">
        <f t="shared" si="4"/>
        <v>98.697745918371041</v>
      </c>
    </row>
    <row r="226" spans="1:8" ht="31.2" outlineLevel="3">
      <c r="A226" s="11" t="s">
        <v>187</v>
      </c>
      <c r="B226" s="12" t="s">
        <v>284</v>
      </c>
      <c r="C226" s="12"/>
      <c r="D226" s="12"/>
      <c r="E226" s="12"/>
      <c r="F226" s="22">
        <f>F227</f>
        <v>26430.611820000006</v>
      </c>
      <c r="G226" s="22">
        <f>G227</f>
        <v>26430.46182</v>
      </c>
      <c r="H226" s="28">
        <f t="shared" si="4"/>
        <v>99.99943247624752</v>
      </c>
    </row>
    <row r="227" spans="1:8" ht="93.6" outlineLevel="4">
      <c r="A227" s="11" t="s">
        <v>81</v>
      </c>
      <c r="B227" s="12" t="s">
        <v>284</v>
      </c>
      <c r="C227" s="12" t="s">
        <v>190</v>
      </c>
      <c r="D227" s="12" t="s">
        <v>116</v>
      </c>
      <c r="E227" s="12" t="s">
        <v>89</v>
      </c>
      <c r="F227" s="22">
        <f>26693.9-7-16.6-20-160.32-16.5-17.14996-0.3-6.45-0.3-13.2-87.3-1.05+82.88178</f>
        <v>26430.611820000006</v>
      </c>
      <c r="G227" s="28">
        <v>26430.46182</v>
      </c>
      <c r="H227" s="28">
        <f t="shared" si="4"/>
        <v>99.99943247624752</v>
      </c>
    </row>
    <row r="228" spans="1:8" ht="31.2" outlineLevel="3">
      <c r="A228" s="11" t="s">
        <v>191</v>
      </c>
      <c r="B228" s="12" t="s">
        <v>285</v>
      </c>
      <c r="C228" s="12"/>
      <c r="D228" s="12"/>
      <c r="E228" s="12"/>
      <c r="F228" s="22">
        <f>F229</f>
        <v>21.843599999999995</v>
      </c>
      <c r="G228" s="22">
        <f>G229</f>
        <v>21.843599999999995</v>
      </c>
      <c r="H228" s="28">
        <f t="shared" si="4"/>
        <v>100</v>
      </c>
    </row>
    <row r="229" spans="1:8" ht="93.6" outlineLevel="4">
      <c r="A229" s="11" t="s">
        <v>81</v>
      </c>
      <c r="B229" s="12" t="s">
        <v>285</v>
      </c>
      <c r="C229" s="12" t="s">
        <v>190</v>
      </c>
      <c r="D229" s="12" t="s">
        <v>116</v>
      </c>
      <c r="E229" s="12" t="s">
        <v>89</v>
      </c>
      <c r="F229" s="22">
        <f>85-11.6564-41.5-10</f>
        <v>21.843599999999995</v>
      </c>
      <c r="G229" s="22">
        <f>85-11.6564-41.5-10</f>
        <v>21.843599999999995</v>
      </c>
      <c r="H229" s="28">
        <f t="shared" si="4"/>
        <v>100</v>
      </c>
    </row>
    <row r="230" spans="1:8" ht="31.2" outlineLevel="3">
      <c r="A230" s="11" t="s">
        <v>286</v>
      </c>
      <c r="B230" s="12" t="s">
        <v>287</v>
      </c>
      <c r="C230" s="12"/>
      <c r="D230" s="12"/>
      <c r="E230" s="12"/>
      <c r="F230" s="22">
        <f>F231</f>
        <v>1889</v>
      </c>
      <c r="G230" s="22">
        <f>G231</f>
        <v>1520.07224</v>
      </c>
      <c r="H230" s="28">
        <f t="shared" si="4"/>
        <v>80.469679195341442</v>
      </c>
    </row>
    <row r="231" spans="1:8" ht="93.6" outlineLevel="4">
      <c r="A231" s="11" t="s">
        <v>81</v>
      </c>
      <c r="B231" s="12" t="s">
        <v>287</v>
      </c>
      <c r="C231" s="12" t="s">
        <v>190</v>
      </c>
      <c r="D231" s="12" t="s">
        <v>116</v>
      </c>
      <c r="E231" s="12" t="s">
        <v>92</v>
      </c>
      <c r="F231" s="22">
        <v>1889</v>
      </c>
      <c r="G231" s="28">
        <v>1520.07224</v>
      </c>
      <c r="H231" s="28">
        <f t="shared" si="4"/>
        <v>80.469679195341442</v>
      </c>
    </row>
    <row r="232" spans="1:8" ht="46.8" hidden="1" outlineLevel="4">
      <c r="A232" s="19" t="s">
        <v>565</v>
      </c>
      <c r="B232" s="20" t="s">
        <v>567</v>
      </c>
      <c r="C232" s="12"/>
      <c r="D232" s="12"/>
      <c r="E232" s="12"/>
      <c r="F232" s="22">
        <f>F233</f>
        <v>0</v>
      </c>
      <c r="G232" s="28"/>
      <c r="H232" s="28" t="e">
        <f t="shared" si="4"/>
        <v>#DIV/0!</v>
      </c>
    </row>
    <row r="233" spans="1:8" ht="31.2" hidden="1" outlineLevel="4">
      <c r="A233" s="19" t="s">
        <v>556</v>
      </c>
      <c r="B233" s="20" t="s">
        <v>567</v>
      </c>
      <c r="C233" s="12" t="s">
        <v>106</v>
      </c>
      <c r="D233" s="12" t="s">
        <v>89</v>
      </c>
      <c r="E233" s="12" t="s">
        <v>90</v>
      </c>
      <c r="F233" s="22">
        <f>300-300</f>
        <v>0</v>
      </c>
      <c r="G233" s="28"/>
      <c r="H233" s="28" t="e">
        <f t="shared" si="4"/>
        <v>#DIV/0!</v>
      </c>
    </row>
    <row r="234" spans="1:8" hidden="1" outlineLevel="4">
      <c r="A234" s="19" t="s">
        <v>566</v>
      </c>
      <c r="B234" s="20" t="s">
        <v>568</v>
      </c>
      <c r="C234" s="12"/>
      <c r="D234" s="12"/>
      <c r="E234" s="12"/>
      <c r="F234" s="22">
        <f>F235</f>
        <v>0</v>
      </c>
      <c r="G234" s="28"/>
      <c r="H234" s="28" t="e">
        <f t="shared" si="4"/>
        <v>#DIV/0!</v>
      </c>
    </row>
    <row r="235" spans="1:8" ht="31.2" hidden="1" outlineLevel="4">
      <c r="A235" s="19" t="s">
        <v>556</v>
      </c>
      <c r="B235" s="20" t="s">
        <v>568</v>
      </c>
      <c r="C235" s="12" t="s">
        <v>106</v>
      </c>
      <c r="D235" s="12" t="s">
        <v>89</v>
      </c>
      <c r="E235" s="12" t="s">
        <v>90</v>
      </c>
      <c r="F235" s="22">
        <f>200-200</f>
        <v>0</v>
      </c>
      <c r="G235" s="28"/>
      <c r="H235" s="28" t="e">
        <f t="shared" si="4"/>
        <v>#DIV/0!</v>
      </c>
    </row>
    <row r="236" spans="1:8" ht="62.4" outlineLevel="2" collapsed="1">
      <c r="A236" s="11" t="s">
        <v>288</v>
      </c>
      <c r="B236" s="12" t="s">
        <v>289</v>
      </c>
      <c r="C236" s="12"/>
      <c r="D236" s="12"/>
      <c r="E236" s="12"/>
      <c r="F236" s="22">
        <f>F237+F239+F241+F243+F246+F249+F252</f>
        <v>5581.8159999999998</v>
      </c>
      <c r="G236" s="22">
        <f>G237+G239+G241+G243+G246+G249+G252</f>
        <v>5511.0559999999996</v>
      </c>
      <c r="H236" s="28">
        <f t="shared" si="4"/>
        <v>98.732312208069914</v>
      </c>
    </row>
    <row r="237" spans="1:8" ht="46.8" outlineLevel="3">
      <c r="A237" s="11" t="s">
        <v>290</v>
      </c>
      <c r="B237" s="12" t="s">
        <v>569</v>
      </c>
      <c r="C237" s="12"/>
      <c r="D237" s="12"/>
      <c r="E237" s="12"/>
      <c r="F237" s="22">
        <f>F238</f>
        <v>3.8140000000000001</v>
      </c>
      <c r="G237" s="22">
        <f>G238</f>
        <v>3.8140000000000001</v>
      </c>
      <c r="H237" s="28">
        <f t="shared" si="4"/>
        <v>100</v>
      </c>
    </row>
    <row r="238" spans="1:8" outlineLevel="4">
      <c r="A238" s="11" t="s">
        <v>168</v>
      </c>
      <c r="B238" s="12" t="s">
        <v>569</v>
      </c>
      <c r="C238" s="12" t="s">
        <v>169</v>
      </c>
      <c r="D238" s="12" t="s">
        <v>89</v>
      </c>
      <c r="E238" s="12" t="s">
        <v>91</v>
      </c>
      <c r="F238" s="22">
        <f>33-30+0.814</f>
        <v>3.8140000000000001</v>
      </c>
      <c r="G238" s="22">
        <f>33-30+0.814</f>
        <v>3.8140000000000001</v>
      </c>
      <c r="H238" s="28">
        <f t="shared" si="4"/>
        <v>100</v>
      </c>
    </row>
    <row r="239" spans="1:8" ht="62.4" outlineLevel="3">
      <c r="A239" s="11" t="s">
        <v>291</v>
      </c>
      <c r="B239" s="12" t="s">
        <v>292</v>
      </c>
      <c r="C239" s="12"/>
      <c r="D239" s="12"/>
      <c r="E239" s="12"/>
      <c r="F239" s="22">
        <f>F240</f>
        <v>62.1</v>
      </c>
      <c r="G239" s="22">
        <f>G240</f>
        <v>62.1</v>
      </c>
      <c r="H239" s="28">
        <f t="shared" si="4"/>
        <v>100</v>
      </c>
    </row>
    <row r="240" spans="1:8" ht="31.2" outlineLevel="4">
      <c r="A240" s="11" t="s">
        <v>105</v>
      </c>
      <c r="B240" s="12" t="s">
        <v>292</v>
      </c>
      <c r="C240" s="12" t="s">
        <v>106</v>
      </c>
      <c r="D240" s="12" t="s">
        <v>116</v>
      </c>
      <c r="E240" s="12" t="s">
        <v>91</v>
      </c>
      <c r="F240" s="22">
        <v>62.1</v>
      </c>
      <c r="G240" s="22">
        <v>62.1</v>
      </c>
      <c r="H240" s="28">
        <f t="shared" si="4"/>
        <v>100</v>
      </c>
    </row>
    <row r="241" spans="1:8" ht="31.2" outlineLevel="3">
      <c r="A241" s="11" t="s">
        <v>293</v>
      </c>
      <c r="B241" s="12" t="s">
        <v>294</v>
      </c>
      <c r="C241" s="12"/>
      <c r="D241" s="12"/>
      <c r="E241" s="12"/>
      <c r="F241" s="22">
        <f>F242</f>
        <v>342.20000000000005</v>
      </c>
      <c r="G241" s="22">
        <f>G242</f>
        <v>271.44</v>
      </c>
      <c r="H241" s="28">
        <f t="shared" si="4"/>
        <v>79.322033898305079</v>
      </c>
    </row>
    <row r="242" spans="1:8" ht="31.2" outlineLevel="4">
      <c r="A242" s="11" t="s">
        <v>105</v>
      </c>
      <c r="B242" s="12" t="s">
        <v>294</v>
      </c>
      <c r="C242" s="12" t="s">
        <v>106</v>
      </c>
      <c r="D242" s="12" t="s">
        <v>116</v>
      </c>
      <c r="E242" s="12" t="s">
        <v>228</v>
      </c>
      <c r="F242" s="22">
        <f>663.6-321.4</f>
        <v>342.20000000000005</v>
      </c>
      <c r="G242" s="28">
        <v>271.44</v>
      </c>
      <c r="H242" s="28">
        <f t="shared" si="4"/>
        <v>79.322033898305079</v>
      </c>
    </row>
    <row r="243" spans="1:8" ht="46.8" outlineLevel="3">
      <c r="A243" s="11" t="s">
        <v>295</v>
      </c>
      <c r="B243" s="12" t="s">
        <v>296</v>
      </c>
      <c r="C243" s="12"/>
      <c r="D243" s="12"/>
      <c r="E243" s="12"/>
      <c r="F243" s="22">
        <f>F244+F245</f>
        <v>3570</v>
      </c>
      <c r="G243" s="22">
        <f>G244+G245</f>
        <v>3570</v>
      </c>
      <c r="H243" s="28">
        <f t="shared" si="4"/>
        <v>100</v>
      </c>
    </row>
    <row r="244" spans="1:8" ht="93.6" outlineLevel="4">
      <c r="A244" s="11" t="s">
        <v>189</v>
      </c>
      <c r="B244" s="12" t="s">
        <v>296</v>
      </c>
      <c r="C244" s="12" t="s">
        <v>190</v>
      </c>
      <c r="D244" s="12" t="s">
        <v>116</v>
      </c>
      <c r="E244" s="12" t="s">
        <v>228</v>
      </c>
      <c r="F244" s="22">
        <f>2829.9+12.60048-0.49167-12.81901</f>
        <v>2829.1898000000001</v>
      </c>
      <c r="G244" s="22">
        <f>2829.9+12.60048-0.49167-12.81901</f>
        <v>2829.1898000000001</v>
      </c>
      <c r="H244" s="28">
        <f t="shared" si="4"/>
        <v>100</v>
      </c>
    </row>
    <row r="245" spans="1:8" ht="31.2" outlineLevel="4">
      <c r="A245" s="11" t="s">
        <v>105</v>
      </c>
      <c r="B245" s="12" t="s">
        <v>296</v>
      </c>
      <c r="C245" s="12" t="s">
        <v>106</v>
      </c>
      <c r="D245" s="12" t="s">
        <v>116</v>
      </c>
      <c r="E245" s="12" t="s">
        <v>228</v>
      </c>
      <c r="F245" s="22">
        <f>740.1-22.82041-4.2+27.73061</f>
        <v>740.8101999999999</v>
      </c>
      <c r="G245" s="22">
        <f>740.1-22.82041-4.2+27.73061</f>
        <v>740.8101999999999</v>
      </c>
      <c r="H245" s="28">
        <f t="shared" si="4"/>
        <v>100</v>
      </c>
    </row>
    <row r="246" spans="1:8" ht="31.2" outlineLevel="3">
      <c r="A246" s="11" t="s">
        <v>297</v>
      </c>
      <c r="B246" s="12" t="s">
        <v>298</v>
      </c>
      <c r="C246" s="12"/>
      <c r="D246" s="12"/>
      <c r="E246" s="12"/>
      <c r="F246" s="22">
        <f>F247+F248</f>
        <v>779.5</v>
      </c>
      <c r="G246" s="22">
        <f>G247+G248</f>
        <v>779.5</v>
      </c>
      <c r="H246" s="28">
        <f t="shared" si="4"/>
        <v>100</v>
      </c>
    </row>
    <row r="247" spans="1:8" ht="93.6" outlineLevel="4">
      <c r="A247" s="11" t="s">
        <v>189</v>
      </c>
      <c r="B247" s="12" t="s">
        <v>298</v>
      </c>
      <c r="C247" s="12" t="s">
        <v>190</v>
      </c>
      <c r="D247" s="12" t="s">
        <v>116</v>
      </c>
      <c r="E247" s="12" t="s">
        <v>89</v>
      </c>
      <c r="F247" s="22">
        <f>653.5-27.87893-0.85-7-15-3.17135</f>
        <v>599.59972000000005</v>
      </c>
      <c r="G247" s="22">
        <f>653.5-27.87893-0.85-7-15-3.17135</f>
        <v>599.59972000000005</v>
      </c>
      <c r="H247" s="28">
        <f t="shared" si="4"/>
        <v>100</v>
      </c>
    </row>
    <row r="248" spans="1:8" ht="31.2" outlineLevel="4">
      <c r="A248" s="11" t="s">
        <v>105</v>
      </c>
      <c r="B248" s="12" t="s">
        <v>298</v>
      </c>
      <c r="C248" s="12" t="s">
        <v>106</v>
      </c>
      <c r="D248" s="12" t="s">
        <v>116</v>
      </c>
      <c r="E248" s="12" t="s">
        <v>89</v>
      </c>
      <c r="F248" s="22">
        <f>126+4.1-30.6818+8.505+71.97708</f>
        <v>179.90028000000001</v>
      </c>
      <c r="G248" s="22">
        <f>126+4.1-30.6818+8.505+71.97708</f>
        <v>179.90028000000001</v>
      </c>
      <c r="H248" s="28">
        <f t="shared" si="4"/>
        <v>100</v>
      </c>
    </row>
    <row r="249" spans="1:8" ht="31.2" outlineLevel="3">
      <c r="A249" s="11" t="s">
        <v>299</v>
      </c>
      <c r="B249" s="12" t="s">
        <v>300</v>
      </c>
      <c r="C249" s="12"/>
      <c r="D249" s="12"/>
      <c r="E249" s="12"/>
      <c r="F249" s="22">
        <f>F250+F251</f>
        <v>824.00000000000011</v>
      </c>
      <c r="G249" s="22">
        <f>G250+G251</f>
        <v>824.00000000000011</v>
      </c>
      <c r="H249" s="28">
        <f t="shared" si="4"/>
        <v>100</v>
      </c>
    </row>
    <row r="250" spans="1:8" ht="93.6" outlineLevel="4">
      <c r="A250" s="11" t="s">
        <v>189</v>
      </c>
      <c r="B250" s="12" t="s">
        <v>300</v>
      </c>
      <c r="C250" s="12" t="s">
        <v>190</v>
      </c>
      <c r="D250" s="12" t="s">
        <v>116</v>
      </c>
      <c r="E250" s="12" t="s">
        <v>89</v>
      </c>
      <c r="F250" s="22">
        <f>646.6-2.72358-2.65212</f>
        <v>641.22430000000008</v>
      </c>
      <c r="G250" s="22">
        <f>646.6-2.72358-2.65212</f>
        <v>641.22430000000008</v>
      </c>
      <c r="H250" s="28">
        <f t="shared" si="4"/>
        <v>100</v>
      </c>
    </row>
    <row r="251" spans="1:8" ht="31.2" outlineLevel="4">
      <c r="A251" s="11" t="s">
        <v>105</v>
      </c>
      <c r="B251" s="12" t="s">
        <v>300</v>
      </c>
      <c r="C251" s="12" t="s">
        <v>106</v>
      </c>
      <c r="D251" s="12" t="s">
        <v>116</v>
      </c>
      <c r="E251" s="12" t="s">
        <v>89</v>
      </c>
      <c r="F251" s="22">
        <f>177.4+2.5+2.8757</f>
        <v>182.7757</v>
      </c>
      <c r="G251" s="22">
        <f>177.4+2.5+2.8757</f>
        <v>182.7757</v>
      </c>
      <c r="H251" s="28">
        <f t="shared" si="4"/>
        <v>100</v>
      </c>
    </row>
    <row r="252" spans="1:8" ht="46.8" outlineLevel="3">
      <c r="A252" s="11" t="s">
        <v>290</v>
      </c>
      <c r="B252" s="12" t="s">
        <v>301</v>
      </c>
      <c r="C252" s="12"/>
      <c r="D252" s="12"/>
      <c r="E252" s="12"/>
      <c r="F252" s="22">
        <f>F253</f>
        <v>0.20199999999999929</v>
      </c>
      <c r="G252" s="22">
        <f>G253</f>
        <v>0.20199999999999929</v>
      </c>
      <c r="H252" s="28">
        <f t="shared" si="4"/>
        <v>100</v>
      </c>
    </row>
    <row r="253" spans="1:8" outlineLevel="4">
      <c r="A253" s="11" t="s">
        <v>168</v>
      </c>
      <c r="B253" s="12" t="s">
        <v>301</v>
      </c>
      <c r="C253" s="12" t="s">
        <v>169</v>
      </c>
      <c r="D253" s="12" t="s">
        <v>89</v>
      </c>
      <c r="E253" s="12" t="s">
        <v>91</v>
      </c>
      <c r="F253" s="22">
        <f>15.2-15+0.002</f>
        <v>0.20199999999999929</v>
      </c>
      <c r="G253" s="22">
        <f>15.2-15+0.002</f>
        <v>0.20199999999999929</v>
      </c>
      <c r="H253" s="28">
        <f t="shared" si="4"/>
        <v>100</v>
      </c>
    </row>
    <row r="254" spans="1:8" ht="62.4" outlineLevel="1">
      <c r="A254" s="13" t="s">
        <v>302</v>
      </c>
      <c r="B254" s="14" t="s">
        <v>303</v>
      </c>
      <c r="C254" s="14"/>
      <c r="D254" s="14"/>
      <c r="E254" s="14"/>
      <c r="F254" s="24">
        <f>F255+F263+F268+F280</f>
        <v>51992.399179999993</v>
      </c>
      <c r="G254" s="24">
        <f>G255+G263+G268+G280</f>
        <v>50277.846900000004</v>
      </c>
      <c r="H254" s="30">
        <f t="shared" si="4"/>
        <v>96.702302053682629</v>
      </c>
    </row>
    <row r="255" spans="1:8" ht="31.2" outlineLevel="2">
      <c r="A255" s="11" t="s">
        <v>304</v>
      </c>
      <c r="B255" s="12" t="s">
        <v>305</v>
      </c>
      <c r="C255" s="12"/>
      <c r="D255" s="12"/>
      <c r="E255" s="12"/>
      <c r="F255" s="22">
        <f>F256+F260</f>
        <v>17051.567089999997</v>
      </c>
      <c r="G255" s="22">
        <f>G256+G260</f>
        <v>17038.482889999999</v>
      </c>
      <c r="H255" s="28">
        <f t="shared" si="4"/>
        <v>99.923266876698563</v>
      </c>
    </row>
    <row r="256" spans="1:8" ht="46.8" outlineLevel="3">
      <c r="A256" s="11" t="s">
        <v>306</v>
      </c>
      <c r="B256" s="12" t="s">
        <v>307</v>
      </c>
      <c r="C256" s="12"/>
      <c r="D256" s="12"/>
      <c r="E256" s="12"/>
      <c r="F256" s="22">
        <f>F257+F258+F259</f>
        <v>14305.067089999999</v>
      </c>
      <c r="G256" s="22">
        <f>G257+G258+G259</f>
        <v>14291.982889999999</v>
      </c>
      <c r="H256" s="28">
        <f t="shared" si="4"/>
        <v>99.908534507963637</v>
      </c>
    </row>
    <row r="257" spans="1:8" ht="93.6" outlineLevel="4">
      <c r="A257" s="11" t="s">
        <v>189</v>
      </c>
      <c r="B257" s="12" t="s">
        <v>307</v>
      </c>
      <c r="C257" s="12" t="s">
        <v>190</v>
      </c>
      <c r="D257" s="12" t="s">
        <v>116</v>
      </c>
      <c r="E257" s="12" t="s">
        <v>228</v>
      </c>
      <c r="F257" s="22">
        <f>6944.2+182.71796</f>
        <v>7126.9179599999998</v>
      </c>
      <c r="G257" s="22">
        <f>6944.2+182.71796</f>
        <v>7126.9179599999998</v>
      </c>
      <c r="H257" s="28">
        <f t="shared" si="4"/>
        <v>100</v>
      </c>
    </row>
    <row r="258" spans="1:8" ht="31.2" outlineLevel="4">
      <c r="A258" s="11" t="s">
        <v>105</v>
      </c>
      <c r="B258" s="12" t="s">
        <v>307</v>
      </c>
      <c r="C258" s="12" t="s">
        <v>106</v>
      </c>
      <c r="D258" s="12" t="s">
        <v>116</v>
      </c>
      <c r="E258" s="12" t="s">
        <v>228</v>
      </c>
      <c r="F258" s="22">
        <f>6767.5+141.02-78.84681-134.28667+28.0658</f>
        <v>6723.4523200000003</v>
      </c>
      <c r="G258" s="28">
        <v>6710.3681200000001</v>
      </c>
      <c r="H258" s="28">
        <f t="shared" si="4"/>
        <v>99.805394619054866</v>
      </c>
    </row>
    <row r="259" spans="1:8" outlineLevel="4">
      <c r="A259" s="11" t="s">
        <v>168</v>
      </c>
      <c r="B259" s="12" t="s">
        <v>307</v>
      </c>
      <c r="C259" s="12" t="s">
        <v>169</v>
      </c>
      <c r="D259" s="12" t="s">
        <v>116</v>
      </c>
      <c r="E259" s="12" t="s">
        <v>228</v>
      </c>
      <c r="F259" s="22">
        <f>375+78.84681+0.85</f>
        <v>454.69681000000003</v>
      </c>
      <c r="G259" s="28">
        <v>454.69681000000003</v>
      </c>
      <c r="H259" s="28">
        <f t="shared" si="4"/>
        <v>100</v>
      </c>
    </row>
    <row r="260" spans="1:8" ht="31.2" outlineLevel="3">
      <c r="A260" s="11" t="s">
        <v>276</v>
      </c>
      <c r="B260" s="12" t="s">
        <v>308</v>
      </c>
      <c r="C260" s="12"/>
      <c r="D260" s="12"/>
      <c r="E260" s="12"/>
      <c r="F260" s="22">
        <f>F261+F262</f>
        <v>2746.4999999999995</v>
      </c>
      <c r="G260" s="22">
        <f>G261+G262</f>
        <v>2746.4999999999995</v>
      </c>
      <c r="H260" s="28">
        <f t="shared" si="4"/>
        <v>100</v>
      </c>
    </row>
    <row r="261" spans="1:8" ht="93.6" outlineLevel="4">
      <c r="A261" s="11" t="s">
        <v>189</v>
      </c>
      <c r="B261" s="12" t="s">
        <v>308</v>
      </c>
      <c r="C261" s="12" t="s">
        <v>190</v>
      </c>
      <c r="D261" s="12" t="s">
        <v>116</v>
      </c>
      <c r="E261" s="12" t="s">
        <v>228</v>
      </c>
      <c r="F261" s="22">
        <f>2467.7+0.03788</f>
        <v>2467.7378799999997</v>
      </c>
      <c r="G261" s="22">
        <f>2467.7+0.03788</f>
        <v>2467.7378799999997</v>
      </c>
      <c r="H261" s="28">
        <f t="shared" si="4"/>
        <v>100</v>
      </c>
    </row>
    <row r="262" spans="1:8" ht="31.2" outlineLevel="4">
      <c r="A262" s="11" t="s">
        <v>105</v>
      </c>
      <c r="B262" s="12" t="s">
        <v>308</v>
      </c>
      <c r="C262" s="12" t="s">
        <v>106</v>
      </c>
      <c r="D262" s="12" t="s">
        <v>116</v>
      </c>
      <c r="E262" s="12" t="s">
        <v>228</v>
      </c>
      <c r="F262" s="22">
        <f>278.8-0.03788</f>
        <v>278.76212000000004</v>
      </c>
      <c r="G262" s="28">
        <v>278.76211999999998</v>
      </c>
      <c r="H262" s="28">
        <f t="shared" si="4"/>
        <v>99.999999999999972</v>
      </c>
    </row>
    <row r="263" spans="1:8" ht="46.8" outlineLevel="2">
      <c r="A263" s="11" t="s">
        <v>309</v>
      </c>
      <c r="B263" s="12" t="s">
        <v>310</v>
      </c>
      <c r="C263" s="12"/>
      <c r="D263" s="12"/>
      <c r="E263" s="12"/>
      <c r="F263" s="22">
        <f>F264+F266</f>
        <v>975.37938999999994</v>
      </c>
      <c r="G263" s="22">
        <f>G264+G266</f>
        <v>963.77904999999998</v>
      </c>
      <c r="H263" s="28">
        <f t="shared" si="4"/>
        <v>98.810684322538336</v>
      </c>
    </row>
    <row r="264" spans="1:8" ht="46.8" outlineLevel="3">
      <c r="A264" s="11" t="s">
        <v>311</v>
      </c>
      <c r="B264" s="12" t="s">
        <v>312</v>
      </c>
      <c r="C264" s="12"/>
      <c r="D264" s="12"/>
      <c r="E264" s="12"/>
      <c r="F264" s="22">
        <f>F265</f>
        <v>795.37938999999994</v>
      </c>
      <c r="G264" s="22">
        <f>G265</f>
        <v>783.77904999999998</v>
      </c>
      <c r="H264" s="28">
        <f t="shared" si="4"/>
        <v>98.54153374529858</v>
      </c>
    </row>
    <row r="265" spans="1:8" ht="31.2" outlineLevel="4">
      <c r="A265" s="11" t="s">
        <v>105</v>
      </c>
      <c r="B265" s="12" t="s">
        <v>312</v>
      </c>
      <c r="C265" s="12" t="s">
        <v>106</v>
      </c>
      <c r="D265" s="12" t="s">
        <v>116</v>
      </c>
      <c r="E265" s="12" t="s">
        <v>228</v>
      </c>
      <c r="F265" s="22">
        <f>638.9+19.3+7.8954+112.311+16.97299</f>
        <v>795.37938999999994</v>
      </c>
      <c r="G265" s="28">
        <v>783.77904999999998</v>
      </c>
      <c r="H265" s="28">
        <f t="shared" si="4"/>
        <v>98.54153374529858</v>
      </c>
    </row>
    <row r="266" spans="1:8" ht="31.2" outlineLevel="3">
      <c r="A266" s="11" t="s">
        <v>313</v>
      </c>
      <c r="B266" s="12" t="s">
        <v>314</v>
      </c>
      <c r="C266" s="12"/>
      <c r="D266" s="12"/>
      <c r="E266" s="12"/>
      <c r="F266" s="22">
        <f>F267</f>
        <v>180</v>
      </c>
      <c r="G266" s="22">
        <f>G267</f>
        <v>180</v>
      </c>
      <c r="H266" s="28">
        <f t="shared" si="4"/>
        <v>100</v>
      </c>
    </row>
    <row r="267" spans="1:8" ht="31.2" outlineLevel="4">
      <c r="A267" s="11" t="s">
        <v>105</v>
      </c>
      <c r="B267" s="12" t="s">
        <v>314</v>
      </c>
      <c r="C267" s="12" t="s">
        <v>106</v>
      </c>
      <c r="D267" s="12" t="s">
        <v>116</v>
      </c>
      <c r="E267" s="12" t="s">
        <v>228</v>
      </c>
      <c r="F267" s="22">
        <v>180</v>
      </c>
      <c r="G267" s="22">
        <v>180</v>
      </c>
      <c r="H267" s="28">
        <f t="shared" ref="H267:H330" si="5">G267/F267*100</f>
        <v>100</v>
      </c>
    </row>
    <row r="268" spans="1:8" ht="31.2" outlineLevel="2">
      <c r="A268" s="11" t="s">
        <v>185</v>
      </c>
      <c r="B268" s="12" t="s">
        <v>315</v>
      </c>
      <c r="C268" s="12"/>
      <c r="D268" s="12"/>
      <c r="E268" s="12"/>
      <c r="F268" s="22">
        <f>F269+F273+F278+F276</f>
        <v>33475.452699999994</v>
      </c>
      <c r="G268" s="22">
        <f>G269+G273+G278+G276</f>
        <v>31785.58496</v>
      </c>
      <c r="H268" s="28">
        <f t="shared" si="5"/>
        <v>94.951919679341643</v>
      </c>
    </row>
    <row r="269" spans="1:8" ht="31.2" outlineLevel="3">
      <c r="A269" s="11" t="s">
        <v>316</v>
      </c>
      <c r="B269" s="12" t="s">
        <v>317</v>
      </c>
      <c r="C269" s="12"/>
      <c r="D269" s="12"/>
      <c r="E269" s="12"/>
      <c r="F269" s="22">
        <f>F270+F271+F272</f>
        <v>32597.652739999998</v>
      </c>
      <c r="G269" s="22">
        <f>G270+G271+G272</f>
        <v>30910.985000000001</v>
      </c>
      <c r="H269" s="28">
        <f t="shared" si="5"/>
        <v>94.82580002476584</v>
      </c>
    </row>
    <row r="270" spans="1:8" ht="93.6" outlineLevel="4">
      <c r="A270" s="11" t="s">
        <v>189</v>
      </c>
      <c r="B270" s="12" t="s">
        <v>317</v>
      </c>
      <c r="C270" s="12" t="s">
        <v>190</v>
      </c>
      <c r="D270" s="12" t="s">
        <v>116</v>
      </c>
      <c r="E270" s="12" t="s">
        <v>228</v>
      </c>
      <c r="F270" s="22">
        <f>30684.2-458-556.7-150+344.77622-28.0658</f>
        <v>29836.210419999999</v>
      </c>
      <c r="G270" s="28">
        <v>28158.832330000001</v>
      </c>
      <c r="H270" s="28">
        <f t="shared" si="5"/>
        <v>94.378045782665453</v>
      </c>
    </row>
    <row r="271" spans="1:8" ht="31.2" outlineLevel="4">
      <c r="A271" s="11" t="s">
        <v>105</v>
      </c>
      <c r="B271" s="12" t="s">
        <v>317</v>
      </c>
      <c r="C271" s="12" t="s">
        <v>106</v>
      </c>
      <c r="D271" s="12" t="s">
        <v>116</v>
      </c>
      <c r="E271" s="12" t="s">
        <v>228</v>
      </c>
      <c r="F271" s="22">
        <f>1848+458+25+350+198.6+110.1+21.09+1.91-321.25768</f>
        <v>2691.4423199999997</v>
      </c>
      <c r="G271" s="28">
        <v>2683.9408400000002</v>
      </c>
      <c r="H271" s="28">
        <f t="shared" si="5"/>
        <v>99.721284013992943</v>
      </c>
    </row>
    <row r="272" spans="1:8" outlineLevel="4">
      <c r="A272" s="11" t="s">
        <v>168</v>
      </c>
      <c r="B272" s="12" t="s">
        <v>317</v>
      </c>
      <c r="C272" s="12" t="s">
        <v>169</v>
      </c>
      <c r="D272" s="12" t="s">
        <v>116</v>
      </c>
      <c r="E272" s="12" t="s">
        <v>228</v>
      </c>
      <c r="F272" s="22">
        <f>20+50</f>
        <v>70</v>
      </c>
      <c r="G272" s="28">
        <v>68.211830000000006</v>
      </c>
      <c r="H272" s="28">
        <f t="shared" si="5"/>
        <v>97.445471428571437</v>
      </c>
    </row>
    <row r="273" spans="1:8" outlineLevel="3">
      <c r="A273" s="11" t="s">
        <v>318</v>
      </c>
      <c r="B273" s="12" t="s">
        <v>319</v>
      </c>
      <c r="C273" s="12"/>
      <c r="D273" s="12"/>
      <c r="E273" s="12"/>
      <c r="F273" s="22">
        <f>F274+F275</f>
        <v>264.10000000000002</v>
      </c>
      <c r="G273" s="22">
        <f>G274+G275</f>
        <v>264.10000000000002</v>
      </c>
      <c r="H273" s="28">
        <f t="shared" si="5"/>
        <v>100</v>
      </c>
    </row>
    <row r="274" spans="1:8" ht="31.2" outlineLevel="4">
      <c r="A274" s="11" t="s">
        <v>105</v>
      </c>
      <c r="B274" s="12" t="s">
        <v>319</v>
      </c>
      <c r="C274" s="12" t="s">
        <v>106</v>
      </c>
      <c r="D274" s="12" t="s">
        <v>116</v>
      </c>
      <c r="E274" s="12" t="s">
        <v>228</v>
      </c>
      <c r="F274" s="22">
        <f>250-74+14.1</f>
        <v>190.1</v>
      </c>
      <c r="G274" s="22">
        <f>250-74+14.1</f>
        <v>190.1</v>
      </c>
      <c r="H274" s="28">
        <f t="shared" si="5"/>
        <v>100</v>
      </c>
    </row>
    <row r="275" spans="1:8" ht="31.2" outlineLevel="4">
      <c r="A275" s="11" t="s">
        <v>161</v>
      </c>
      <c r="B275" s="12" t="s">
        <v>319</v>
      </c>
      <c r="C275" s="12" t="s">
        <v>162</v>
      </c>
      <c r="D275" s="12" t="s">
        <v>116</v>
      </c>
      <c r="E275" s="12" t="s">
        <v>228</v>
      </c>
      <c r="F275" s="22">
        <v>74</v>
      </c>
      <c r="G275" s="28">
        <v>74</v>
      </c>
      <c r="H275" s="28">
        <f t="shared" si="5"/>
        <v>100</v>
      </c>
    </row>
    <row r="276" spans="1:8" outlineLevel="4">
      <c r="A276" s="11" t="s">
        <v>549</v>
      </c>
      <c r="B276" s="12" t="s">
        <v>548</v>
      </c>
      <c r="C276" s="12"/>
      <c r="D276" s="12"/>
      <c r="E276" s="12"/>
      <c r="F276" s="22">
        <f>F277</f>
        <v>114.69996</v>
      </c>
      <c r="G276" s="22">
        <f>G277</f>
        <v>111.49996</v>
      </c>
      <c r="H276" s="28">
        <f t="shared" si="5"/>
        <v>97.210112366211803</v>
      </c>
    </row>
    <row r="277" spans="1:8" outlineLevel="4">
      <c r="A277" s="11" t="s">
        <v>168</v>
      </c>
      <c r="B277" s="12" t="s">
        <v>548</v>
      </c>
      <c r="C277" s="12" t="s">
        <v>169</v>
      </c>
      <c r="D277" s="12" t="s">
        <v>116</v>
      </c>
      <c r="E277" s="12" t="s">
        <v>228</v>
      </c>
      <c r="F277" s="22">
        <f>7+16.6+20+16.5+17.14996+0.3+6.45+0.3+13.2+17.2</f>
        <v>114.69996</v>
      </c>
      <c r="G277" s="28">
        <v>111.49996</v>
      </c>
      <c r="H277" s="28">
        <f t="shared" si="5"/>
        <v>97.210112366211803</v>
      </c>
    </row>
    <row r="278" spans="1:8" ht="62.4" outlineLevel="3">
      <c r="A278" s="11" t="s">
        <v>320</v>
      </c>
      <c r="B278" s="12" t="s">
        <v>321</v>
      </c>
      <c r="C278" s="12"/>
      <c r="D278" s="12"/>
      <c r="E278" s="12"/>
      <c r="F278" s="22">
        <f>F279</f>
        <v>499</v>
      </c>
      <c r="G278" s="22">
        <f>G279</f>
        <v>499</v>
      </c>
      <c r="H278" s="28">
        <f t="shared" si="5"/>
        <v>100</v>
      </c>
    </row>
    <row r="279" spans="1:8" ht="31.2" outlineLevel="4">
      <c r="A279" s="11" t="s">
        <v>161</v>
      </c>
      <c r="B279" s="12" t="s">
        <v>321</v>
      </c>
      <c r="C279" s="12" t="s">
        <v>162</v>
      </c>
      <c r="D279" s="12" t="s">
        <v>116</v>
      </c>
      <c r="E279" s="12" t="s">
        <v>228</v>
      </c>
      <c r="F279" s="22">
        <v>499</v>
      </c>
      <c r="G279" s="22">
        <v>499</v>
      </c>
      <c r="H279" s="28">
        <f t="shared" si="5"/>
        <v>100</v>
      </c>
    </row>
    <row r="280" spans="1:8" ht="31.2" outlineLevel="2">
      <c r="A280" s="11" t="s">
        <v>322</v>
      </c>
      <c r="B280" s="12" t="s">
        <v>323</v>
      </c>
      <c r="C280" s="12"/>
      <c r="D280" s="12"/>
      <c r="E280" s="12"/>
      <c r="F280" s="22">
        <f>F281</f>
        <v>490</v>
      </c>
      <c r="G280" s="22">
        <f>G281</f>
        <v>490</v>
      </c>
      <c r="H280" s="28">
        <f t="shared" si="5"/>
        <v>100</v>
      </c>
    </row>
    <row r="281" spans="1:8" outlineLevel="3">
      <c r="A281" s="11" t="s">
        <v>324</v>
      </c>
      <c r="B281" s="12" t="s">
        <v>325</v>
      </c>
      <c r="C281" s="12"/>
      <c r="D281" s="12"/>
      <c r="E281" s="12"/>
      <c r="F281" s="22">
        <f>F282</f>
        <v>490</v>
      </c>
      <c r="G281" s="22">
        <f>G282</f>
        <v>490</v>
      </c>
      <c r="H281" s="28">
        <f t="shared" si="5"/>
        <v>100</v>
      </c>
    </row>
    <row r="282" spans="1:8" ht="31.2" outlineLevel="4">
      <c r="A282" s="11" t="s">
        <v>161</v>
      </c>
      <c r="B282" s="12" t="s">
        <v>325</v>
      </c>
      <c r="C282" s="12" t="s">
        <v>162</v>
      </c>
      <c r="D282" s="12" t="s">
        <v>154</v>
      </c>
      <c r="E282" s="12" t="s">
        <v>326</v>
      </c>
      <c r="F282" s="22">
        <v>490</v>
      </c>
      <c r="G282" s="22">
        <v>490</v>
      </c>
      <c r="H282" s="28">
        <f t="shared" si="5"/>
        <v>100</v>
      </c>
    </row>
    <row r="283" spans="1:8" ht="31.2" outlineLevel="1">
      <c r="A283" s="13" t="s">
        <v>327</v>
      </c>
      <c r="B283" s="14" t="s">
        <v>328</v>
      </c>
      <c r="C283" s="14"/>
      <c r="D283" s="14"/>
      <c r="E283" s="14"/>
      <c r="F283" s="24">
        <f>F284</f>
        <v>6553</v>
      </c>
      <c r="G283" s="24">
        <f>G284</f>
        <v>5191.4019099999996</v>
      </c>
      <c r="H283" s="30">
        <f t="shared" si="5"/>
        <v>79.221759652067746</v>
      </c>
    </row>
    <row r="284" spans="1:8" ht="46.8" outlineLevel="2">
      <c r="A284" s="11" t="s">
        <v>654</v>
      </c>
      <c r="B284" s="12" t="s">
        <v>329</v>
      </c>
      <c r="C284" s="12"/>
      <c r="D284" s="12"/>
      <c r="E284" s="12"/>
      <c r="F284" s="22">
        <f>F287+F285</f>
        <v>6553</v>
      </c>
      <c r="G284" s="22">
        <f>G287+G285</f>
        <v>5191.4019099999996</v>
      </c>
      <c r="H284" s="28">
        <f t="shared" si="5"/>
        <v>79.221759652067746</v>
      </c>
    </row>
    <row r="285" spans="1:8" ht="46.8" outlineLevel="2">
      <c r="A285" s="19" t="s">
        <v>595</v>
      </c>
      <c r="B285" s="12" t="s">
        <v>331</v>
      </c>
      <c r="C285" s="12"/>
      <c r="D285" s="12"/>
      <c r="E285" s="12"/>
      <c r="F285" s="22">
        <f>F286</f>
        <v>2539.25</v>
      </c>
      <c r="G285" s="22">
        <f>G286</f>
        <v>1650.43983</v>
      </c>
      <c r="H285" s="28">
        <f t="shared" si="5"/>
        <v>64.997138131337991</v>
      </c>
    </row>
    <row r="286" spans="1:8" ht="62.4" outlineLevel="2">
      <c r="A286" s="19" t="s">
        <v>596</v>
      </c>
      <c r="B286" s="12" t="s">
        <v>331</v>
      </c>
      <c r="C286" s="12" t="s">
        <v>120</v>
      </c>
      <c r="D286" s="12" t="s">
        <v>90</v>
      </c>
      <c r="E286" s="12" t="s">
        <v>116</v>
      </c>
      <c r="F286" s="22">
        <f>1252.8+1286.45</f>
        <v>2539.25</v>
      </c>
      <c r="G286" s="28">
        <v>1650.43983</v>
      </c>
      <c r="H286" s="28">
        <f t="shared" si="5"/>
        <v>64.997138131337991</v>
      </c>
    </row>
    <row r="287" spans="1:8" ht="46.8" outlineLevel="3">
      <c r="A287" s="11" t="s">
        <v>330</v>
      </c>
      <c r="B287" s="12" t="s">
        <v>331</v>
      </c>
      <c r="C287" s="12"/>
      <c r="D287" s="12"/>
      <c r="E287" s="12"/>
      <c r="F287" s="22">
        <f>F288</f>
        <v>4013.75</v>
      </c>
      <c r="G287" s="22">
        <v>3540.9620799999998</v>
      </c>
      <c r="H287" s="28">
        <f t="shared" si="5"/>
        <v>88.220793023980065</v>
      </c>
    </row>
    <row r="288" spans="1:8" ht="62.4" outlineLevel="4">
      <c r="A288" s="11" t="s">
        <v>119</v>
      </c>
      <c r="B288" s="12" t="s">
        <v>331</v>
      </c>
      <c r="C288" s="12" t="s">
        <v>120</v>
      </c>
      <c r="D288" s="12" t="s">
        <v>90</v>
      </c>
      <c r="E288" s="12" t="s">
        <v>92</v>
      </c>
      <c r="F288" s="22">
        <f>6553-1252.8-1286.45</f>
        <v>4013.75</v>
      </c>
      <c r="G288" s="28">
        <v>3540.96</v>
      </c>
      <c r="H288" s="28">
        <f t="shared" si="5"/>
        <v>88.220741202117722</v>
      </c>
    </row>
    <row r="289" spans="1:8" ht="46.8">
      <c r="A289" s="9" t="s">
        <v>332</v>
      </c>
      <c r="B289" s="10" t="s">
        <v>333</v>
      </c>
      <c r="C289" s="10"/>
      <c r="D289" s="10"/>
      <c r="E289" s="10"/>
      <c r="F289" s="23">
        <f>F290+F297</f>
        <v>2269.6799999999998</v>
      </c>
      <c r="G289" s="23">
        <f>G290+G297</f>
        <v>2203.95451</v>
      </c>
      <c r="H289" s="29">
        <f t="shared" si="5"/>
        <v>97.104195745655787</v>
      </c>
    </row>
    <row r="290" spans="1:8" ht="46.8" outlineLevel="2">
      <c r="A290" s="11" t="s">
        <v>334</v>
      </c>
      <c r="B290" s="12" t="s">
        <v>335</v>
      </c>
      <c r="C290" s="12"/>
      <c r="D290" s="12"/>
      <c r="E290" s="12"/>
      <c r="F290" s="22">
        <f>F295+F291+F293</f>
        <v>980.68</v>
      </c>
      <c r="G290" s="22">
        <f>G295+G291+G293</f>
        <v>980.68</v>
      </c>
      <c r="H290" s="28">
        <f t="shared" si="5"/>
        <v>100</v>
      </c>
    </row>
    <row r="291" spans="1:8" ht="62.4" outlineLevel="2">
      <c r="A291" s="11" t="s">
        <v>631</v>
      </c>
      <c r="B291" s="12" t="s">
        <v>632</v>
      </c>
      <c r="C291" s="12"/>
      <c r="D291" s="12"/>
      <c r="E291" s="12"/>
      <c r="F291" s="22">
        <f>F292</f>
        <v>930.68</v>
      </c>
      <c r="G291" s="22">
        <f>G292</f>
        <v>930.68</v>
      </c>
      <c r="H291" s="28">
        <f t="shared" si="5"/>
        <v>100</v>
      </c>
    </row>
    <row r="292" spans="1:8" outlineLevel="2">
      <c r="A292" s="11" t="s">
        <v>168</v>
      </c>
      <c r="B292" s="12" t="s">
        <v>632</v>
      </c>
      <c r="C292" s="12" t="s">
        <v>169</v>
      </c>
      <c r="D292" s="12" t="s">
        <v>89</v>
      </c>
      <c r="E292" s="12" t="s">
        <v>90</v>
      </c>
      <c r="F292" s="22">
        <v>930.68</v>
      </c>
      <c r="G292" s="22">
        <v>930.68</v>
      </c>
      <c r="H292" s="28">
        <f t="shared" si="5"/>
        <v>100</v>
      </c>
    </row>
    <row r="293" spans="1:8" ht="62.4" outlineLevel="2">
      <c r="A293" s="21" t="s">
        <v>646</v>
      </c>
      <c r="B293" s="12" t="s">
        <v>647</v>
      </c>
      <c r="C293" s="12"/>
      <c r="D293" s="12"/>
      <c r="E293" s="12"/>
      <c r="F293" s="22">
        <f>F294</f>
        <v>50</v>
      </c>
      <c r="G293" s="22">
        <f>G294</f>
        <v>50</v>
      </c>
      <c r="H293" s="28">
        <f t="shared" si="5"/>
        <v>100</v>
      </c>
    </row>
    <row r="294" spans="1:8" outlineLevel="2">
      <c r="A294" s="21" t="s">
        <v>600</v>
      </c>
      <c r="B294" s="12" t="s">
        <v>647</v>
      </c>
      <c r="C294" s="12" t="s">
        <v>169</v>
      </c>
      <c r="D294" s="12" t="s">
        <v>89</v>
      </c>
      <c r="E294" s="12" t="s">
        <v>90</v>
      </c>
      <c r="F294" s="22">
        <v>50</v>
      </c>
      <c r="G294" s="22">
        <v>50</v>
      </c>
      <c r="H294" s="28">
        <f t="shared" si="5"/>
        <v>100</v>
      </c>
    </row>
    <row r="295" spans="1:8" ht="46.8" hidden="1" outlineLevel="3">
      <c r="A295" s="11" t="s">
        <v>336</v>
      </c>
      <c r="B295" s="12" t="s">
        <v>337</v>
      </c>
      <c r="C295" s="12"/>
      <c r="D295" s="12"/>
      <c r="E295" s="12"/>
      <c r="F295" s="22">
        <f>F296</f>
        <v>0</v>
      </c>
      <c r="G295" s="28"/>
      <c r="H295" s="28" t="e">
        <f t="shared" si="5"/>
        <v>#DIV/0!</v>
      </c>
    </row>
    <row r="296" spans="1:8" hidden="1" outlineLevel="4">
      <c r="A296" s="11" t="s">
        <v>168</v>
      </c>
      <c r="B296" s="12" t="s">
        <v>337</v>
      </c>
      <c r="C296" s="12" t="s">
        <v>169</v>
      </c>
      <c r="D296" s="12" t="s">
        <v>89</v>
      </c>
      <c r="E296" s="12" t="s">
        <v>90</v>
      </c>
      <c r="F296" s="22">
        <f>300-300</f>
        <v>0</v>
      </c>
      <c r="G296" s="28"/>
      <c r="H296" s="28" t="e">
        <f t="shared" si="5"/>
        <v>#DIV/0!</v>
      </c>
    </row>
    <row r="297" spans="1:8" ht="31.2" outlineLevel="2" collapsed="1">
      <c r="A297" s="11" t="s">
        <v>338</v>
      </c>
      <c r="B297" s="12" t="s">
        <v>339</v>
      </c>
      <c r="C297" s="12"/>
      <c r="D297" s="12"/>
      <c r="E297" s="12"/>
      <c r="F297" s="22">
        <f>F298</f>
        <v>1289</v>
      </c>
      <c r="G297" s="22">
        <f>G298</f>
        <v>1223.27451</v>
      </c>
      <c r="H297" s="28">
        <f t="shared" si="5"/>
        <v>94.901048099301775</v>
      </c>
    </row>
    <row r="298" spans="1:8" ht="46.8" outlineLevel="3">
      <c r="A298" s="11" t="s">
        <v>340</v>
      </c>
      <c r="B298" s="12" t="s">
        <v>341</v>
      </c>
      <c r="C298" s="12"/>
      <c r="D298" s="12"/>
      <c r="E298" s="12"/>
      <c r="F298" s="22">
        <f>F299</f>
        <v>1289</v>
      </c>
      <c r="G298" s="22">
        <f>G299</f>
        <v>1223.27451</v>
      </c>
      <c r="H298" s="28">
        <f t="shared" si="5"/>
        <v>94.901048099301775</v>
      </c>
    </row>
    <row r="299" spans="1:8" ht="62.4" outlineLevel="4">
      <c r="A299" s="11" t="s">
        <v>119</v>
      </c>
      <c r="B299" s="12" t="s">
        <v>341</v>
      </c>
      <c r="C299" s="12" t="s">
        <v>120</v>
      </c>
      <c r="D299" s="12" t="s">
        <v>89</v>
      </c>
      <c r="E299" s="12" t="s">
        <v>90</v>
      </c>
      <c r="F299" s="22">
        <v>1289</v>
      </c>
      <c r="G299" s="28">
        <v>1223.27451</v>
      </c>
      <c r="H299" s="28">
        <f t="shared" si="5"/>
        <v>94.901048099301775</v>
      </c>
    </row>
    <row r="300" spans="1:8" ht="62.4">
      <c r="A300" s="9" t="s">
        <v>342</v>
      </c>
      <c r="B300" s="10" t="s">
        <v>343</v>
      </c>
      <c r="C300" s="10"/>
      <c r="D300" s="10"/>
      <c r="E300" s="10"/>
      <c r="F300" s="23">
        <f>F301+F306+F310+F324+F328</f>
        <v>9867.6454000000012</v>
      </c>
      <c r="G300" s="23">
        <f>G301+G306+G310+G324+G328</f>
        <v>9699.4650700000002</v>
      </c>
      <c r="H300" s="29">
        <f t="shared" si="5"/>
        <v>98.295638694110337</v>
      </c>
    </row>
    <row r="301" spans="1:8" ht="46.8" outlineLevel="2">
      <c r="A301" s="11" t="s">
        <v>344</v>
      </c>
      <c r="B301" s="12" t="s">
        <v>345</v>
      </c>
      <c r="C301" s="12"/>
      <c r="D301" s="12"/>
      <c r="E301" s="12"/>
      <c r="F301" s="22">
        <f>F303+F305</f>
        <v>386.99502000000001</v>
      </c>
      <c r="G301" s="22">
        <f>G303+G305</f>
        <v>386.99502000000001</v>
      </c>
      <c r="H301" s="28">
        <f t="shared" si="5"/>
        <v>100</v>
      </c>
    </row>
    <row r="302" spans="1:8" outlineLevel="3">
      <c r="A302" s="11" t="s">
        <v>346</v>
      </c>
      <c r="B302" s="12" t="s">
        <v>347</v>
      </c>
      <c r="C302" s="12"/>
      <c r="D302" s="12"/>
      <c r="E302" s="12"/>
      <c r="F302" s="22">
        <f>F303</f>
        <v>386.99502000000001</v>
      </c>
      <c r="G302" s="22">
        <f>G303</f>
        <v>386.99502000000001</v>
      </c>
      <c r="H302" s="28">
        <f t="shared" si="5"/>
        <v>100</v>
      </c>
    </row>
    <row r="303" spans="1:8" ht="31.2" outlineLevel="4">
      <c r="A303" s="11" t="s">
        <v>105</v>
      </c>
      <c r="B303" s="12" t="s">
        <v>347</v>
      </c>
      <c r="C303" s="12" t="s">
        <v>106</v>
      </c>
      <c r="D303" s="12" t="s">
        <v>163</v>
      </c>
      <c r="E303" s="12" t="s">
        <v>348</v>
      </c>
      <c r="F303" s="22">
        <f>150+140+50+10+36.99502</f>
        <v>386.99502000000001</v>
      </c>
      <c r="G303" s="22">
        <f>150+140+50+10+36.99502</f>
        <v>386.99502000000001</v>
      </c>
      <c r="H303" s="28">
        <f t="shared" si="5"/>
        <v>100</v>
      </c>
    </row>
    <row r="304" spans="1:8" ht="46.8" hidden="1" outlineLevel="3">
      <c r="A304" s="11" t="s">
        <v>69</v>
      </c>
      <c r="B304" s="12" t="s">
        <v>349</v>
      </c>
      <c r="C304" s="12"/>
      <c r="D304" s="12"/>
      <c r="E304" s="12"/>
      <c r="F304" s="22">
        <f>F305</f>
        <v>0</v>
      </c>
      <c r="G304" s="28"/>
      <c r="H304" s="28" t="e">
        <f t="shared" si="5"/>
        <v>#DIV/0!</v>
      </c>
    </row>
    <row r="305" spans="1:8" ht="62.4" hidden="1" outlineLevel="4">
      <c r="A305" s="11" t="s">
        <v>119</v>
      </c>
      <c r="B305" s="12" t="s">
        <v>349</v>
      </c>
      <c r="C305" s="12" t="s">
        <v>120</v>
      </c>
      <c r="D305" s="12" t="s">
        <v>163</v>
      </c>
      <c r="E305" s="12" t="s">
        <v>348</v>
      </c>
      <c r="F305" s="22">
        <f>180-180</f>
        <v>0</v>
      </c>
      <c r="G305" s="28"/>
      <c r="H305" s="28" t="e">
        <f t="shared" si="5"/>
        <v>#DIV/0!</v>
      </c>
    </row>
    <row r="306" spans="1:8" ht="31.2" outlineLevel="2" collapsed="1">
      <c r="A306" s="11" t="s">
        <v>185</v>
      </c>
      <c r="B306" s="12" t="s">
        <v>350</v>
      </c>
      <c r="C306" s="12"/>
      <c r="D306" s="12"/>
      <c r="E306" s="12"/>
      <c r="F306" s="22">
        <f>F307</f>
        <v>3759.7443499999999</v>
      </c>
      <c r="G306" s="22">
        <f>G307</f>
        <v>3729.9182300000002</v>
      </c>
      <c r="H306" s="28">
        <f t="shared" si="5"/>
        <v>99.206698189465996</v>
      </c>
    </row>
    <row r="307" spans="1:8" ht="31.2" outlineLevel="3">
      <c r="A307" s="11" t="s">
        <v>316</v>
      </c>
      <c r="B307" s="12" t="s">
        <v>351</v>
      </c>
      <c r="C307" s="12"/>
      <c r="D307" s="12"/>
      <c r="E307" s="12"/>
      <c r="F307" s="22">
        <f>F308+F309</f>
        <v>3759.7443499999999</v>
      </c>
      <c r="G307" s="22">
        <f>G308+G309</f>
        <v>3729.9182300000002</v>
      </c>
      <c r="H307" s="28">
        <f t="shared" si="5"/>
        <v>99.206698189465996</v>
      </c>
    </row>
    <row r="308" spans="1:8" ht="93.6" outlineLevel="4">
      <c r="A308" s="11" t="s">
        <v>189</v>
      </c>
      <c r="B308" s="12" t="s">
        <v>351</v>
      </c>
      <c r="C308" s="12" t="s">
        <v>190</v>
      </c>
      <c r="D308" s="12" t="s">
        <v>116</v>
      </c>
      <c r="E308" s="12" t="s">
        <v>228</v>
      </c>
      <c r="F308" s="22">
        <f>3015.1-140+77.20017</f>
        <v>2952.30017</v>
      </c>
      <c r="G308" s="22">
        <f>3015.1-140+77.20017</f>
        <v>2952.30017</v>
      </c>
      <c r="H308" s="28">
        <f t="shared" si="5"/>
        <v>100</v>
      </c>
    </row>
    <row r="309" spans="1:8" ht="31.2" outlineLevel="4">
      <c r="A309" s="11" t="s">
        <v>105</v>
      </c>
      <c r="B309" s="12" t="s">
        <v>351</v>
      </c>
      <c r="C309" s="12" t="s">
        <v>106</v>
      </c>
      <c r="D309" s="12" t="s">
        <v>116</v>
      </c>
      <c r="E309" s="12" t="s">
        <v>228</v>
      </c>
      <c r="F309" s="22">
        <f>417.2+306+110-25.75582</f>
        <v>807.44418000000007</v>
      </c>
      <c r="G309" s="28">
        <v>777.61806000000001</v>
      </c>
      <c r="H309" s="28">
        <f t="shared" si="5"/>
        <v>96.306107500830578</v>
      </c>
    </row>
    <row r="310" spans="1:8" ht="46.8" outlineLevel="2">
      <c r="A310" s="11" t="s">
        <v>352</v>
      </c>
      <c r="B310" s="12" t="s">
        <v>353</v>
      </c>
      <c r="C310" s="12"/>
      <c r="D310" s="12"/>
      <c r="E310" s="12"/>
      <c r="F310" s="22">
        <f>F311+F314+F317+F320+F322</f>
        <v>706.04579999999999</v>
      </c>
      <c r="G310" s="22">
        <f>G311+G314+G317+G320+G322</f>
        <v>706.04579999999999</v>
      </c>
      <c r="H310" s="28">
        <f t="shared" si="5"/>
        <v>100</v>
      </c>
    </row>
    <row r="311" spans="1:8" ht="31.2" outlineLevel="3">
      <c r="A311" s="11" t="s">
        <v>354</v>
      </c>
      <c r="B311" s="12" t="s">
        <v>355</v>
      </c>
      <c r="C311" s="12"/>
      <c r="D311" s="12"/>
      <c r="E311" s="12"/>
      <c r="F311" s="22">
        <f>F312+F313</f>
        <v>329.37</v>
      </c>
      <c r="G311" s="22">
        <f>G312+G313</f>
        <v>329.37</v>
      </c>
      <c r="H311" s="28">
        <f t="shared" si="5"/>
        <v>100</v>
      </c>
    </row>
    <row r="312" spans="1:8" ht="31.2" outlineLevel="4">
      <c r="A312" s="11" t="s">
        <v>105</v>
      </c>
      <c r="B312" s="12" t="s">
        <v>355</v>
      </c>
      <c r="C312" s="12" t="s">
        <v>106</v>
      </c>
      <c r="D312" s="12" t="s">
        <v>163</v>
      </c>
      <c r="E312" s="12" t="s">
        <v>154</v>
      </c>
      <c r="F312" s="22">
        <f>3.2-0.03</f>
        <v>3.1700000000000004</v>
      </c>
      <c r="G312" s="22">
        <f>3.2-0.03</f>
        <v>3.1700000000000004</v>
      </c>
      <c r="H312" s="28">
        <f t="shared" si="5"/>
        <v>100</v>
      </c>
    </row>
    <row r="313" spans="1:8" ht="31.2" outlineLevel="4">
      <c r="A313" s="11" t="s">
        <v>161</v>
      </c>
      <c r="B313" s="12" t="s">
        <v>355</v>
      </c>
      <c r="C313" s="12" t="s">
        <v>162</v>
      </c>
      <c r="D313" s="12" t="s">
        <v>163</v>
      </c>
      <c r="E313" s="12" t="s">
        <v>154</v>
      </c>
      <c r="F313" s="22">
        <f>306.2+20</f>
        <v>326.2</v>
      </c>
      <c r="G313" s="28">
        <v>326.2</v>
      </c>
      <c r="H313" s="28">
        <f t="shared" si="5"/>
        <v>100</v>
      </c>
    </row>
    <row r="314" spans="1:8" outlineLevel="3">
      <c r="A314" s="11" t="s">
        <v>356</v>
      </c>
      <c r="B314" s="12" t="s">
        <v>357</v>
      </c>
      <c r="C314" s="12"/>
      <c r="D314" s="12"/>
      <c r="E314" s="12"/>
      <c r="F314" s="22">
        <f>F315+F316</f>
        <v>140.69300000000001</v>
      </c>
      <c r="G314" s="22">
        <f>G315+G316</f>
        <v>140.69300000000001</v>
      </c>
      <c r="H314" s="28">
        <f t="shared" si="5"/>
        <v>100</v>
      </c>
    </row>
    <row r="315" spans="1:8" ht="31.2" outlineLevel="4">
      <c r="A315" s="11" t="s">
        <v>105</v>
      </c>
      <c r="B315" s="12" t="s">
        <v>357</v>
      </c>
      <c r="C315" s="12" t="s">
        <v>106</v>
      </c>
      <c r="D315" s="12" t="s">
        <v>163</v>
      </c>
      <c r="E315" s="12" t="s">
        <v>154</v>
      </c>
      <c r="F315" s="22">
        <f>1.6-0.207</f>
        <v>1.393</v>
      </c>
      <c r="G315" s="22">
        <f>1.6-0.207</f>
        <v>1.393</v>
      </c>
      <c r="H315" s="28">
        <f t="shared" si="5"/>
        <v>100</v>
      </c>
    </row>
    <row r="316" spans="1:8" ht="31.2" outlineLevel="4">
      <c r="A316" s="11" t="s">
        <v>161</v>
      </c>
      <c r="B316" s="12" t="s">
        <v>357</v>
      </c>
      <c r="C316" s="12" t="s">
        <v>162</v>
      </c>
      <c r="D316" s="12" t="s">
        <v>163</v>
      </c>
      <c r="E316" s="12" t="s">
        <v>154</v>
      </c>
      <c r="F316" s="22">
        <f>156-12-4.7</f>
        <v>139.30000000000001</v>
      </c>
      <c r="G316" s="22">
        <f>156-12-4.7</f>
        <v>139.30000000000001</v>
      </c>
      <c r="H316" s="28">
        <f t="shared" si="5"/>
        <v>100</v>
      </c>
    </row>
    <row r="317" spans="1:8" ht="31.2" outlineLevel="3">
      <c r="A317" s="11" t="s">
        <v>358</v>
      </c>
      <c r="B317" s="12" t="s">
        <v>359</v>
      </c>
      <c r="C317" s="12"/>
      <c r="D317" s="12"/>
      <c r="E317" s="12"/>
      <c r="F317" s="22">
        <f>F318+F319</f>
        <v>178.77</v>
      </c>
      <c r="G317" s="22">
        <f>G318+G319</f>
        <v>178.77</v>
      </c>
      <c r="H317" s="28">
        <f t="shared" si="5"/>
        <v>100</v>
      </c>
    </row>
    <row r="318" spans="1:8" ht="31.2" outlineLevel="4">
      <c r="A318" s="11" t="s">
        <v>105</v>
      </c>
      <c r="B318" s="12" t="s">
        <v>359</v>
      </c>
      <c r="C318" s="12" t="s">
        <v>106</v>
      </c>
      <c r="D318" s="12" t="s">
        <v>163</v>
      </c>
      <c r="E318" s="12" t="s">
        <v>154</v>
      </c>
      <c r="F318" s="22">
        <f>2-0.23</f>
        <v>1.77</v>
      </c>
      <c r="G318" s="22">
        <f>2-0.23</f>
        <v>1.77</v>
      </c>
      <c r="H318" s="28">
        <f t="shared" si="5"/>
        <v>100</v>
      </c>
    </row>
    <row r="319" spans="1:8" ht="31.2" outlineLevel="4">
      <c r="A319" s="11" t="s">
        <v>161</v>
      </c>
      <c r="B319" s="12" t="s">
        <v>359</v>
      </c>
      <c r="C319" s="12" t="s">
        <v>162</v>
      </c>
      <c r="D319" s="12" t="s">
        <v>163</v>
      </c>
      <c r="E319" s="12" t="s">
        <v>154</v>
      </c>
      <c r="F319" s="22">
        <f>178-1</f>
        <v>177</v>
      </c>
      <c r="G319" s="22">
        <f>178-1</f>
        <v>177</v>
      </c>
      <c r="H319" s="28">
        <f t="shared" si="5"/>
        <v>100</v>
      </c>
    </row>
    <row r="320" spans="1:8" ht="31.2" outlineLevel="3">
      <c r="A320" s="11" t="s">
        <v>360</v>
      </c>
      <c r="B320" s="12" t="s">
        <v>361</v>
      </c>
      <c r="C320" s="12"/>
      <c r="D320" s="12"/>
      <c r="E320" s="12"/>
      <c r="F320" s="22">
        <f>F321</f>
        <v>49.59</v>
      </c>
      <c r="G320" s="22">
        <f>G321</f>
        <v>49.59</v>
      </c>
      <c r="H320" s="28">
        <f t="shared" si="5"/>
        <v>100</v>
      </c>
    </row>
    <row r="321" spans="1:8" ht="31.2" outlineLevel="4">
      <c r="A321" s="11" t="s">
        <v>161</v>
      </c>
      <c r="B321" s="12" t="s">
        <v>361</v>
      </c>
      <c r="C321" s="12" t="s">
        <v>162</v>
      </c>
      <c r="D321" s="12" t="s">
        <v>163</v>
      </c>
      <c r="E321" s="12" t="s">
        <v>154</v>
      </c>
      <c r="F321" s="22">
        <f>50-0.41</f>
        <v>49.59</v>
      </c>
      <c r="G321" s="22">
        <f>50-0.41</f>
        <v>49.59</v>
      </c>
      <c r="H321" s="28">
        <f t="shared" si="5"/>
        <v>100</v>
      </c>
    </row>
    <row r="322" spans="1:8" ht="31.2" outlineLevel="3">
      <c r="A322" s="11" t="s">
        <v>362</v>
      </c>
      <c r="B322" s="12" t="s">
        <v>363</v>
      </c>
      <c r="C322" s="12"/>
      <c r="D322" s="12"/>
      <c r="E322" s="12"/>
      <c r="F322" s="22">
        <f>F323</f>
        <v>7.6227999999999998</v>
      </c>
      <c r="G322" s="22">
        <f>G323</f>
        <v>7.6227999999999998</v>
      </c>
      <c r="H322" s="28">
        <f t="shared" si="5"/>
        <v>100</v>
      </c>
    </row>
    <row r="323" spans="1:8" ht="31.2" outlineLevel="4">
      <c r="A323" s="11" t="s">
        <v>161</v>
      </c>
      <c r="B323" s="12" t="s">
        <v>363</v>
      </c>
      <c r="C323" s="12" t="s">
        <v>162</v>
      </c>
      <c r="D323" s="12" t="s">
        <v>163</v>
      </c>
      <c r="E323" s="12" t="s">
        <v>154</v>
      </c>
      <c r="F323" s="22">
        <f>10-2.3772</f>
        <v>7.6227999999999998</v>
      </c>
      <c r="G323" s="22">
        <f>10-2.3772</f>
        <v>7.6227999999999998</v>
      </c>
      <c r="H323" s="28">
        <f t="shared" si="5"/>
        <v>100</v>
      </c>
    </row>
    <row r="324" spans="1:8" ht="31.2" outlineLevel="2">
      <c r="A324" s="11" t="s">
        <v>364</v>
      </c>
      <c r="B324" s="12" t="s">
        <v>365</v>
      </c>
      <c r="C324" s="12"/>
      <c r="D324" s="12"/>
      <c r="E324" s="12"/>
      <c r="F324" s="22">
        <f>F325</f>
        <v>4900.1452300000001</v>
      </c>
      <c r="G324" s="22">
        <f>G325</f>
        <v>4761.7910199999997</v>
      </c>
      <c r="H324" s="28">
        <f t="shared" si="5"/>
        <v>97.176528378119102</v>
      </c>
    </row>
    <row r="325" spans="1:8" outlineLevel="3">
      <c r="A325" s="11" t="s">
        <v>366</v>
      </c>
      <c r="B325" s="12" t="s">
        <v>367</v>
      </c>
      <c r="C325" s="12"/>
      <c r="D325" s="12"/>
      <c r="E325" s="12"/>
      <c r="F325" s="22">
        <f>F326+F327</f>
        <v>4900.1452300000001</v>
      </c>
      <c r="G325" s="22">
        <f>G326+G327</f>
        <v>4761.7910199999997</v>
      </c>
      <c r="H325" s="28">
        <f t="shared" si="5"/>
        <v>97.176528378119102</v>
      </c>
    </row>
    <row r="326" spans="1:8" ht="31.2" outlineLevel="4">
      <c r="A326" s="11" t="s">
        <v>105</v>
      </c>
      <c r="B326" s="12" t="s">
        <v>367</v>
      </c>
      <c r="C326" s="12" t="s">
        <v>106</v>
      </c>
      <c r="D326" s="12" t="s">
        <v>163</v>
      </c>
      <c r="E326" s="12" t="s">
        <v>116</v>
      </c>
      <c r="F326" s="22">
        <v>50</v>
      </c>
      <c r="G326" s="28">
        <v>37.804110000000001</v>
      </c>
      <c r="H326" s="28">
        <f t="shared" si="5"/>
        <v>75.608220000000003</v>
      </c>
    </row>
    <row r="327" spans="1:8" ht="31.2" outlineLevel="4">
      <c r="A327" s="11" t="s">
        <v>161</v>
      </c>
      <c r="B327" s="12" t="s">
        <v>367</v>
      </c>
      <c r="C327" s="12" t="s">
        <v>162</v>
      </c>
      <c r="D327" s="12" t="s">
        <v>163</v>
      </c>
      <c r="E327" s="12" t="s">
        <v>116</v>
      </c>
      <c r="F327" s="22">
        <f>4950-99.85477</f>
        <v>4850.1452300000001</v>
      </c>
      <c r="G327" s="28">
        <v>4723.9869099999996</v>
      </c>
      <c r="H327" s="28">
        <f t="shared" si="5"/>
        <v>97.39887541470587</v>
      </c>
    </row>
    <row r="328" spans="1:8" ht="31.2" outlineLevel="2">
      <c r="A328" s="11" t="s">
        <v>368</v>
      </c>
      <c r="B328" s="12" t="s">
        <v>369</v>
      </c>
      <c r="C328" s="12"/>
      <c r="D328" s="12"/>
      <c r="E328" s="12"/>
      <c r="F328" s="22">
        <f>F329+F331</f>
        <v>114.715</v>
      </c>
      <c r="G328" s="22">
        <f>G329+G331</f>
        <v>114.715</v>
      </c>
      <c r="H328" s="28">
        <f t="shared" si="5"/>
        <v>100</v>
      </c>
    </row>
    <row r="329" spans="1:8" ht="31.2" outlineLevel="3">
      <c r="A329" s="11" t="s">
        <v>370</v>
      </c>
      <c r="B329" s="12" t="s">
        <v>371</v>
      </c>
      <c r="C329" s="12"/>
      <c r="D329" s="12"/>
      <c r="E329" s="12"/>
      <c r="F329" s="22">
        <f>F330</f>
        <v>10</v>
      </c>
      <c r="G329" s="22">
        <f>G330</f>
        <v>10</v>
      </c>
      <c r="H329" s="28">
        <f t="shared" si="5"/>
        <v>100</v>
      </c>
    </row>
    <row r="330" spans="1:8" ht="31.2" outlineLevel="4">
      <c r="A330" s="11" t="s">
        <v>105</v>
      </c>
      <c r="B330" s="12" t="s">
        <v>371</v>
      </c>
      <c r="C330" s="12" t="s">
        <v>106</v>
      </c>
      <c r="D330" s="12" t="s">
        <v>163</v>
      </c>
      <c r="E330" s="12" t="s">
        <v>154</v>
      </c>
      <c r="F330" s="22">
        <f>25-15</f>
        <v>10</v>
      </c>
      <c r="G330" s="22">
        <f>25-15</f>
        <v>10</v>
      </c>
      <c r="H330" s="28">
        <f t="shared" si="5"/>
        <v>100</v>
      </c>
    </row>
    <row r="331" spans="1:8" ht="31.2" outlineLevel="3">
      <c r="A331" s="11" t="s">
        <v>372</v>
      </c>
      <c r="B331" s="12" t="s">
        <v>373</v>
      </c>
      <c r="C331" s="12"/>
      <c r="D331" s="12"/>
      <c r="E331" s="12"/>
      <c r="F331" s="22">
        <f>F332</f>
        <v>104.715</v>
      </c>
      <c r="G331" s="22">
        <f>G332</f>
        <v>104.715</v>
      </c>
      <c r="H331" s="28">
        <f t="shared" ref="H331:H394" si="6">G331/F331*100</f>
        <v>100</v>
      </c>
    </row>
    <row r="332" spans="1:8" ht="31.2" outlineLevel="4">
      <c r="A332" s="11" t="s">
        <v>105</v>
      </c>
      <c r="B332" s="12" t="s">
        <v>373</v>
      </c>
      <c r="C332" s="12" t="s">
        <v>106</v>
      </c>
      <c r="D332" s="12" t="s">
        <v>163</v>
      </c>
      <c r="E332" s="12" t="s">
        <v>154</v>
      </c>
      <c r="F332" s="22">
        <f>90+17-2.285</f>
        <v>104.715</v>
      </c>
      <c r="G332" s="22">
        <f>90+17-2.285</f>
        <v>104.715</v>
      </c>
      <c r="H332" s="28">
        <f t="shared" si="6"/>
        <v>100</v>
      </c>
    </row>
    <row r="333" spans="1:8" ht="109.2">
      <c r="A333" s="9" t="s">
        <v>374</v>
      </c>
      <c r="B333" s="10" t="s">
        <v>375</v>
      </c>
      <c r="C333" s="10"/>
      <c r="D333" s="10"/>
      <c r="E333" s="10"/>
      <c r="F333" s="23">
        <f t="shared" ref="F333:G335" si="7">F334</f>
        <v>4256</v>
      </c>
      <c r="G333" s="23">
        <f t="shared" si="7"/>
        <v>4215.5786600000001</v>
      </c>
      <c r="H333" s="29">
        <f t="shared" si="6"/>
        <v>99.050250469924819</v>
      </c>
    </row>
    <row r="334" spans="1:8" ht="78" outlineLevel="2">
      <c r="A334" s="11" t="s">
        <v>376</v>
      </c>
      <c r="B334" s="12" t="s">
        <v>377</v>
      </c>
      <c r="C334" s="12"/>
      <c r="D334" s="12"/>
      <c r="E334" s="12"/>
      <c r="F334" s="22">
        <f t="shared" si="7"/>
        <v>4256</v>
      </c>
      <c r="G334" s="22">
        <f t="shared" si="7"/>
        <v>4215.5786600000001</v>
      </c>
      <c r="H334" s="28">
        <f t="shared" si="6"/>
        <v>99.050250469924819</v>
      </c>
    </row>
    <row r="335" spans="1:8" ht="46.8" outlineLevel="3">
      <c r="A335" s="11" t="s">
        <v>378</v>
      </c>
      <c r="B335" s="12" t="s">
        <v>379</v>
      </c>
      <c r="C335" s="12"/>
      <c r="D335" s="12"/>
      <c r="E335" s="12"/>
      <c r="F335" s="22">
        <f t="shared" si="7"/>
        <v>4256</v>
      </c>
      <c r="G335" s="22">
        <f t="shared" si="7"/>
        <v>4215.5786600000001</v>
      </c>
      <c r="H335" s="28">
        <f t="shared" si="6"/>
        <v>99.050250469924819</v>
      </c>
    </row>
    <row r="336" spans="1:8" ht="62.4" outlineLevel="4">
      <c r="A336" s="11" t="s">
        <v>119</v>
      </c>
      <c r="B336" s="12" t="s">
        <v>379</v>
      </c>
      <c r="C336" s="12" t="s">
        <v>120</v>
      </c>
      <c r="D336" s="12" t="s">
        <v>116</v>
      </c>
      <c r="E336" s="12" t="s">
        <v>228</v>
      </c>
      <c r="F336" s="22">
        <v>4256</v>
      </c>
      <c r="G336" s="28">
        <v>4215.5786600000001</v>
      </c>
      <c r="H336" s="28">
        <f t="shared" si="6"/>
        <v>99.050250469924819</v>
      </c>
    </row>
    <row r="337" spans="1:8" ht="62.4">
      <c r="A337" s="9" t="s">
        <v>380</v>
      </c>
      <c r="B337" s="10" t="s">
        <v>381</v>
      </c>
      <c r="C337" s="10"/>
      <c r="D337" s="10"/>
      <c r="E337" s="10"/>
      <c r="F337" s="23">
        <f>F338+F351</f>
        <v>11873.800000000001</v>
      </c>
      <c r="G337" s="23">
        <f>G338+G351</f>
        <v>11479.03924</v>
      </c>
      <c r="H337" s="29">
        <f t="shared" si="6"/>
        <v>96.675362899829864</v>
      </c>
    </row>
    <row r="338" spans="1:8" ht="78" outlineLevel="1">
      <c r="A338" s="13" t="s">
        <v>382</v>
      </c>
      <c r="B338" s="14" t="s">
        <v>383</v>
      </c>
      <c r="C338" s="14"/>
      <c r="D338" s="14"/>
      <c r="E338" s="14"/>
      <c r="F338" s="24">
        <f>F339+F344+F348</f>
        <v>11259.12</v>
      </c>
      <c r="G338" s="24">
        <f>G339+G344+G348</f>
        <v>10924.378070000001</v>
      </c>
      <c r="H338" s="30">
        <f t="shared" si="6"/>
        <v>97.026926349483801</v>
      </c>
    </row>
    <row r="339" spans="1:8" ht="78" outlineLevel="2">
      <c r="A339" s="11" t="s">
        <v>384</v>
      </c>
      <c r="B339" s="12" t="s">
        <v>385</v>
      </c>
      <c r="C339" s="12"/>
      <c r="D339" s="12"/>
      <c r="E339" s="12"/>
      <c r="F339" s="22">
        <f>F340</f>
        <v>10823.52</v>
      </c>
      <c r="G339" s="22">
        <f>G340</f>
        <v>10493.80431</v>
      </c>
      <c r="H339" s="28">
        <f t="shared" si="6"/>
        <v>96.953711084748761</v>
      </c>
    </row>
    <row r="340" spans="1:8" ht="62.4" outlineLevel="3">
      <c r="A340" s="11" t="s">
        <v>386</v>
      </c>
      <c r="B340" s="12" t="s">
        <v>387</v>
      </c>
      <c r="C340" s="12"/>
      <c r="D340" s="12"/>
      <c r="E340" s="12"/>
      <c r="F340" s="22">
        <f>F341+F342+F343</f>
        <v>10823.52</v>
      </c>
      <c r="G340" s="22">
        <f>G341+G342+G343</f>
        <v>10493.80431</v>
      </c>
      <c r="H340" s="28">
        <f t="shared" si="6"/>
        <v>96.953711084748761</v>
      </c>
    </row>
    <row r="341" spans="1:8" ht="93.6" outlineLevel="4">
      <c r="A341" s="11" t="s">
        <v>189</v>
      </c>
      <c r="B341" s="12" t="s">
        <v>387</v>
      </c>
      <c r="C341" s="12" t="s">
        <v>190</v>
      </c>
      <c r="D341" s="12" t="s">
        <v>154</v>
      </c>
      <c r="E341" s="12" t="s">
        <v>127</v>
      </c>
      <c r="F341" s="22">
        <f>9046.3+9.85</f>
        <v>9056.15</v>
      </c>
      <c r="G341" s="28">
        <v>9006.4504300000008</v>
      </c>
      <c r="H341" s="28">
        <f t="shared" si="6"/>
        <v>99.451206417738234</v>
      </c>
    </row>
    <row r="342" spans="1:8" ht="31.2" outlineLevel="4">
      <c r="A342" s="11" t="s">
        <v>105</v>
      </c>
      <c r="B342" s="12" t="s">
        <v>387</v>
      </c>
      <c r="C342" s="12" t="s">
        <v>106</v>
      </c>
      <c r="D342" s="12" t="s">
        <v>154</v>
      </c>
      <c r="E342" s="12" t="s">
        <v>127</v>
      </c>
      <c r="F342" s="22">
        <f>1717.42+21.96553-2.169-97.05</f>
        <v>1640.16653</v>
      </c>
      <c r="G342" s="28">
        <v>1377.38518</v>
      </c>
      <c r="H342" s="28">
        <f t="shared" si="6"/>
        <v>83.978373830125648</v>
      </c>
    </row>
    <row r="343" spans="1:8" outlineLevel="4">
      <c r="A343" s="11" t="s">
        <v>168</v>
      </c>
      <c r="B343" s="12" t="s">
        <v>387</v>
      </c>
      <c r="C343" s="12" t="s">
        <v>169</v>
      </c>
      <c r="D343" s="12" t="s">
        <v>154</v>
      </c>
      <c r="E343" s="12" t="s">
        <v>127</v>
      </c>
      <c r="F343" s="22">
        <f>147-21.96553+2.169</f>
        <v>127.20347</v>
      </c>
      <c r="G343" s="28">
        <v>109.9687</v>
      </c>
      <c r="H343" s="28">
        <f t="shared" si="6"/>
        <v>86.451022130135286</v>
      </c>
    </row>
    <row r="344" spans="1:8" ht="46.8" outlineLevel="2">
      <c r="A344" s="11" t="s">
        <v>388</v>
      </c>
      <c r="B344" s="12" t="s">
        <v>389</v>
      </c>
      <c r="C344" s="12"/>
      <c r="D344" s="12"/>
      <c r="E344" s="12"/>
      <c r="F344" s="22">
        <f>F345</f>
        <v>345.6</v>
      </c>
      <c r="G344" s="22">
        <f>G345</f>
        <v>340.58222000000001</v>
      </c>
      <c r="H344" s="28">
        <f t="shared" si="6"/>
        <v>98.5480960648148</v>
      </c>
    </row>
    <row r="345" spans="1:8" ht="31.2" outlineLevel="3">
      <c r="A345" s="11" t="s">
        <v>390</v>
      </c>
      <c r="B345" s="12" t="s">
        <v>391</v>
      </c>
      <c r="C345" s="12"/>
      <c r="D345" s="12"/>
      <c r="E345" s="12"/>
      <c r="F345" s="22">
        <f>F346+F347</f>
        <v>345.6</v>
      </c>
      <c r="G345" s="22">
        <f>G346+G347</f>
        <v>340.58222000000001</v>
      </c>
      <c r="H345" s="28">
        <f t="shared" si="6"/>
        <v>98.5480960648148</v>
      </c>
    </row>
    <row r="346" spans="1:8" ht="31.2" outlineLevel="4">
      <c r="A346" s="11" t="s">
        <v>105</v>
      </c>
      <c r="B346" s="12" t="s">
        <v>391</v>
      </c>
      <c r="C346" s="12" t="s">
        <v>106</v>
      </c>
      <c r="D346" s="12" t="s">
        <v>154</v>
      </c>
      <c r="E346" s="12" t="s">
        <v>127</v>
      </c>
      <c r="F346" s="22">
        <f>232+63.6</f>
        <v>295.60000000000002</v>
      </c>
      <c r="G346" s="28">
        <v>290.65922</v>
      </c>
      <c r="H346" s="28">
        <f t="shared" si="6"/>
        <v>98.328558863328823</v>
      </c>
    </row>
    <row r="347" spans="1:8" ht="31.2" outlineLevel="5">
      <c r="A347" s="11" t="s">
        <v>105</v>
      </c>
      <c r="B347" s="12" t="s">
        <v>391</v>
      </c>
      <c r="C347" s="12" t="s">
        <v>106</v>
      </c>
      <c r="D347" s="12" t="s">
        <v>91</v>
      </c>
      <c r="E347" s="12" t="s">
        <v>154</v>
      </c>
      <c r="F347" s="22">
        <v>50</v>
      </c>
      <c r="G347" s="28">
        <v>49.923000000000002</v>
      </c>
      <c r="H347" s="28">
        <f t="shared" si="6"/>
        <v>99.846000000000004</v>
      </c>
    </row>
    <row r="348" spans="1:8" ht="46.8" outlineLevel="2">
      <c r="A348" s="11" t="s">
        <v>392</v>
      </c>
      <c r="B348" s="12" t="s">
        <v>393</v>
      </c>
      <c r="C348" s="12"/>
      <c r="D348" s="12"/>
      <c r="E348" s="12"/>
      <c r="F348" s="22">
        <f>F349</f>
        <v>90</v>
      </c>
      <c r="G348" s="22">
        <f>G349</f>
        <v>89.991540000000001</v>
      </c>
      <c r="H348" s="28">
        <f t="shared" si="6"/>
        <v>99.990600000000001</v>
      </c>
    </row>
    <row r="349" spans="1:8" ht="93.6" outlineLevel="3">
      <c r="A349" s="11" t="s">
        <v>394</v>
      </c>
      <c r="B349" s="12" t="s">
        <v>395</v>
      </c>
      <c r="C349" s="12"/>
      <c r="D349" s="12"/>
      <c r="E349" s="12"/>
      <c r="F349" s="22">
        <f>F350</f>
        <v>90</v>
      </c>
      <c r="G349" s="22">
        <f>G350</f>
        <v>89.991540000000001</v>
      </c>
      <c r="H349" s="28">
        <f t="shared" si="6"/>
        <v>99.990600000000001</v>
      </c>
    </row>
    <row r="350" spans="1:8" ht="31.2" outlineLevel="4">
      <c r="A350" s="11" t="s">
        <v>105</v>
      </c>
      <c r="B350" s="12" t="s">
        <v>395</v>
      </c>
      <c r="C350" s="12" t="s">
        <v>106</v>
      </c>
      <c r="D350" s="12" t="s">
        <v>154</v>
      </c>
      <c r="E350" s="12" t="s">
        <v>127</v>
      </c>
      <c r="F350" s="22">
        <f>80+10</f>
        <v>90</v>
      </c>
      <c r="G350" s="28">
        <v>89.991540000000001</v>
      </c>
      <c r="H350" s="28">
        <f t="shared" si="6"/>
        <v>99.990600000000001</v>
      </c>
    </row>
    <row r="351" spans="1:8" ht="62.4" outlineLevel="1">
      <c r="A351" s="13" t="s">
        <v>396</v>
      </c>
      <c r="B351" s="14" t="s">
        <v>397</v>
      </c>
      <c r="C351" s="14"/>
      <c r="D351" s="14"/>
      <c r="E351" s="14"/>
      <c r="F351" s="24">
        <f>F352+F355</f>
        <v>614.67999999999995</v>
      </c>
      <c r="G351" s="24">
        <f>G352+G355</f>
        <v>554.66116999999997</v>
      </c>
      <c r="H351" s="30">
        <f t="shared" si="6"/>
        <v>90.235760070280463</v>
      </c>
    </row>
    <row r="352" spans="1:8" ht="46.8" outlineLevel="2">
      <c r="A352" s="11" t="s">
        <v>398</v>
      </c>
      <c r="B352" s="12" t="s">
        <v>399</v>
      </c>
      <c r="C352" s="12"/>
      <c r="D352" s="12"/>
      <c r="E352" s="12"/>
      <c r="F352" s="22">
        <f>F353</f>
        <v>94.4</v>
      </c>
      <c r="G352" s="22">
        <f>G353</f>
        <v>94.4</v>
      </c>
      <c r="H352" s="28">
        <f t="shared" si="6"/>
        <v>100</v>
      </c>
    </row>
    <row r="353" spans="1:8" ht="31.2" outlineLevel="3">
      <c r="A353" s="11" t="s">
        <v>400</v>
      </c>
      <c r="B353" s="12" t="s">
        <v>401</v>
      </c>
      <c r="C353" s="12"/>
      <c r="D353" s="12"/>
      <c r="E353" s="12"/>
      <c r="F353" s="22">
        <f>F354</f>
        <v>94.4</v>
      </c>
      <c r="G353" s="22">
        <f>G354</f>
        <v>94.4</v>
      </c>
      <c r="H353" s="28">
        <f t="shared" si="6"/>
        <v>100</v>
      </c>
    </row>
    <row r="354" spans="1:8" ht="31.2" outlineLevel="4">
      <c r="A354" s="11" t="s">
        <v>105</v>
      </c>
      <c r="B354" s="12" t="s">
        <v>401</v>
      </c>
      <c r="C354" s="12" t="s">
        <v>106</v>
      </c>
      <c r="D354" s="12" t="s">
        <v>154</v>
      </c>
      <c r="E354" s="12" t="s">
        <v>127</v>
      </c>
      <c r="F354" s="22">
        <v>94.4</v>
      </c>
      <c r="G354" s="22">
        <v>94.4</v>
      </c>
      <c r="H354" s="28">
        <f t="shared" si="6"/>
        <v>100</v>
      </c>
    </row>
    <row r="355" spans="1:8" ht="31.2" outlineLevel="2">
      <c r="A355" s="11" t="s">
        <v>402</v>
      </c>
      <c r="B355" s="12" t="s">
        <v>403</v>
      </c>
      <c r="C355" s="12"/>
      <c r="D355" s="12"/>
      <c r="E355" s="12"/>
      <c r="F355" s="22">
        <f>F356</f>
        <v>520.28</v>
      </c>
      <c r="G355" s="22">
        <f>G356</f>
        <v>460.26116999999999</v>
      </c>
      <c r="H355" s="28">
        <f t="shared" si="6"/>
        <v>88.464128930575853</v>
      </c>
    </row>
    <row r="356" spans="1:8" ht="31.2" outlineLevel="3">
      <c r="A356" s="11" t="s">
        <v>404</v>
      </c>
      <c r="B356" s="12" t="s">
        <v>405</v>
      </c>
      <c r="C356" s="12"/>
      <c r="D356" s="12"/>
      <c r="E356" s="12"/>
      <c r="F356" s="22">
        <f>F357</f>
        <v>520.28</v>
      </c>
      <c r="G356" s="22">
        <f>G357</f>
        <v>460.26116999999999</v>
      </c>
      <c r="H356" s="28">
        <f t="shared" si="6"/>
        <v>88.464128930575853</v>
      </c>
    </row>
    <row r="357" spans="1:8" ht="31.2" outlineLevel="4">
      <c r="A357" s="11" t="s">
        <v>105</v>
      </c>
      <c r="B357" s="12" t="s">
        <v>405</v>
      </c>
      <c r="C357" s="12" t="s">
        <v>106</v>
      </c>
      <c r="D357" s="12" t="s">
        <v>154</v>
      </c>
      <c r="E357" s="12" t="s">
        <v>127</v>
      </c>
      <c r="F357" s="22">
        <f>506.68+13.6</f>
        <v>520.28</v>
      </c>
      <c r="G357" s="28">
        <v>460.26116999999999</v>
      </c>
      <c r="H357" s="28">
        <f t="shared" si="6"/>
        <v>88.464128930575853</v>
      </c>
    </row>
    <row r="358" spans="1:8" s="4" customFormat="1" ht="46.8">
      <c r="A358" s="9" t="s">
        <v>14</v>
      </c>
      <c r="B358" s="10" t="s">
        <v>406</v>
      </c>
      <c r="C358" s="10"/>
      <c r="D358" s="10"/>
      <c r="E358" s="10"/>
      <c r="F358" s="23">
        <f>F359+F369+F373</f>
        <v>11881.8</v>
      </c>
      <c r="G358" s="23">
        <f>G359+G369+G373</f>
        <v>11012.008999999998</v>
      </c>
      <c r="H358" s="29">
        <f t="shared" si="6"/>
        <v>92.679636082075106</v>
      </c>
    </row>
    <row r="359" spans="1:8" ht="46.8" outlineLevel="1">
      <c r="A359" s="13" t="s">
        <v>407</v>
      </c>
      <c r="B359" s="14" t="s">
        <v>408</v>
      </c>
      <c r="C359" s="14"/>
      <c r="D359" s="14"/>
      <c r="E359" s="14"/>
      <c r="F359" s="24">
        <f>F360+F366</f>
        <v>10353</v>
      </c>
      <c r="G359" s="24">
        <f>G360+G366</f>
        <v>9493.4093099999991</v>
      </c>
      <c r="H359" s="30">
        <f t="shared" si="6"/>
        <v>91.697182555780927</v>
      </c>
    </row>
    <row r="360" spans="1:8" ht="62.4" outlineLevel="2">
      <c r="A360" s="11" t="s">
        <v>409</v>
      </c>
      <c r="B360" s="12" t="s">
        <v>410</v>
      </c>
      <c r="C360" s="12"/>
      <c r="D360" s="12"/>
      <c r="E360" s="12"/>
      <c r="F360" s="22">
        <f>F361+F363</f>
        <v>9883</v>
      </c>
      <c r="G360" s="22">
        <f>G361+G363</f>
        <v>9493.4093099999991</v>
      </c>
      <c r="H360" s="28">
        <f t="shared" si="6"/>
        <v>96.057971364970143</v>
      </c>
    </row>
    <row r="361" spans="1:8" ht="31.2" outlineLevel="3">
      <c r="A361" s="11" t="s">
        <v>187</v>
      </c>
      <c r="B361" s="12" t="s">
        <v>411</v>
      </c>
      <c r="C361" s="12"/>
      <c r="D361" s="12"/>
      <c r="E361" s="12"/>
      <c r="F361" s="22">
        <f>F362</f>
        <v>9422</v>
      </c>
      <c r="G361" s="22">
        <f>G362</f>
        <v>9041.6106999999993</v>
      </c>
      <c r="H361" s="28">
        <f t="shared" si="6"/>
        <v>95.962754192315842</v>
      </c>
    </row>
    <row r="362" spans="1:8" ht="93.6" outlineLevel="4">
      <c r="A362" s="11" t="s">
        <v>189</v>
      </c>
      <c r="B362" s="12" t="s">
        <v>411</v>
      </c>
      <c r="C362" s="12" t="s">
        <v>190</v>
      </c>
      <c r="D362" s="12" t="s">
        <v>116</v>
      </c>
      <c r="E362" s="12" t="s">
        <v>348</v>
      </c>
      <c r="F362" s="22">
        <f>9424-2</f>
        <v>9422</v>
      </c>
      <c r="G362" s="28">
        <v>9041.6106999999993</v>
      </c>
      <c r="H362" s="28">
        <f t="shared" si="6"/>
        <v>95.962754192315842</v>
      </c>
    </row>
    <row r="363" spans="1:8" ht="31.2" outlineLevel="3">
      <c r="A363" s="11" t="s">
        <v>191</v>
      </c>
      <c r="B363" s="12" t="s">
        <v>412</v>
      </c>
      <c r="C363" s="12"/>
      <c r="D363" s="12"/>
      <c r="E363" s="12"/>
      <c r="F363" s="22">
        <f>F364+F365</f>
        <v>461</v>
      </c>
      <c r="G363" s="22">
        <f>G364+G365</f>
        <v>451.79861000000005</v>
      </c>
      <c r="H363" s="28">
        <f t="shared" si="6"/>
        <v>98.004036876355755</v>
      </c>
    </row>
    <row r="364" spans="1:8" ht="31.2" outlineLevel="4">
      <c r="A364" s="11" t="s">
        <v>105</v>
      </c>
      <c r="B364" s="12" t="s">
        <v>412</v>
      </c>
      <c r="C364" s="12" t="s">
        <v>106</v>
      </c>
      <c r="D364" s="12" t="s">
        <v>116</v>
      </c>
      <c r="E364" s="12" t="s">
        <v>348</v>
      </c>
      <c r="F364" s="22">
        <f>453+7.6</f>
        <v>460.6</v>
      </c>
      <c r="G364" s="28">
        <v>451.45361000000003</v>
      </c>
      <c r="H364" s="28">
        <f t="shared" si="6"/>
        <v>98.014244463742955</v>
      </c>
    </row>
    <row r="365" spans="1:8" outlineLevel="4">
      <c r="A365" s="11" t="s">
        <v>168</v>
      </c>
      <c r="B365" s="12" t="s">
        <v>412</v>
      </c>
      <c r="C365" s="12" t="s">
        <v>169</v>
      </c>
      <c r="D365" s="12" t="s">
        <v>116</v>
      </c>
      <c r="E365" s="12" t="s">
        <v>348</v>
      </c>
      <c r="F365" s="22">
        <f>6-5.6</f>
        <v>0.40000000000000036</v>
      </c>
      <c r="G365" s="28">
        <v>0.34499999999999997</v>
      </c>
      <c r="H365" s="28">
        <f t="shared" si="6"/>
        <v>86.249999999999915</v>
      </c>
    </row>
    <row r="366" spans="1:8" ht="46.8" outlineLevel="2">
      <c r="A366" s="11" t="s">
        <v>413</v>
      </c>
      <c r="B366" s="12" t="s">
        <v>414</v>
      </c>
      <c r="C366" s="12"/>
      <c r="D366" s="12"/>
      <c r="E366" s="12"/>
      <c r="F366" s="22">
        <f>F367</f>
        <v>470</v>
      </c>
      <c r="G366" s="22">
        <f>G367</f>
        <v>0</v>
      </c>
      <c r="H366" s="28">
        <f t="shared" si="6"/>
        <v>0</v>
      </c>
    </row>
    <row r="367" spans="1:8" ht="31.2" outlineLevel="3">
      <c r="A367" s="11" t="s">
        <v>415</v>
      </c>
      <c r="B367" s="12" t="s">
        <v>416</v>
      </c>
      <c r="C367" s="12"/>
      <c r="D367" s="12"/>
      <c r="E367" s="12"/>
      <c r="F367" s="22">
        <f>F368</f>
        <v>470</v>
      </c>
      <c r="G367" s="22">
        <f>G368</f>
        <v>0</v>
      </c>
      <c r="H367" s="28">
        <f t="shared" si="6"/>
        <v>0</v>
      </c>
    </row>
    <row r="368" spans="1:8" outlineLevel="4">
      <c r="A368" s="11" t="s">
        <v>168</v>
      </c>
      <c r="B368" s="12" t="s">
        <v>416</v>
      </c>
      <c r="C368" s="12" t="s">
        <v>169</v>
      </c>
      <c r="D368" s="12" t="s">
        <v>116</v>
      </c>
      <c r="E368" s="12" t="s">
        <v>417</v>
      </c>
      <c r="F368" s="22">
        <v>470</v>
      </c>
      <c r="G368" s="28">
        <v>0</v>
      </c>
      <c r="H368" s="28">
        <f t="shared" si="6"/>
        <v>0</v>
      </c>
    </row>
    <row r="369" spans="1:8" ht="31.2" outlineLevel="1">
      <c r="A369" s="13" t="s">
        <v>418</v>
      </c>
      <c r="B369" s="14" t="s">
        <v>419</v>
      </c>
      <c r="C369" s="14"/>
      <c r="D369" s="14"/>
      <c r="E369" s="14"/>
      <c r="F369" s="24">
        <f t="shared" ref="F369:G371" si="8">F370</f>
        <v>528.79999999999995</v>
      </c>
      <c r="G369" s="24">
        <f t="shared" si="8"/>
        <v>518.59969000000001</v>
      </c>
      <c r="H369" s="30">
        <f t="shared" si="6"/>
        <v>98.071045763993965</v>
      </c>
    </row>
    <row r="370" spans="1:8" ht="46.8" outlineLevel="2">
      <c r="A370" s="11" t="s">
        <v>420</v>
      </c>
      <c r="B370" s="12" t="s">
        <v>421</v>
      </c>
      <c r="C370" s="12"/>
      <c r="D370" s="12"/>
      <c r="E370" s="12"/>
      <c r="F370" s="22">
        <f t="shared" si="8"/>
        <v>528.79999999999995</v>
      </c>
      <c r="G370" s="22">
        <f t="shared" si="8"/>
        <v>518.59969000000001</v>
      </c>
      <c r="H370" s="28">
        <f t="shared" si="6"/>
        <v>98.071045763993965</v>
      </c>
    </row>
    <row r="371" spans="1:8" outlineLevel="3">
      <c r="A371" s="11" t="s">
        <v>422</v>
      </c>
      <c r="B371" s="12" t="s">
        <v>423</v>
      </c>
      <c r="C371" s="12"/>
      <c r="D371" s="12"/>
      <c r="E371" s="12"/>
      <c r="F371" s="22">
        <f t="shared" si="8"/>
        <v>528.79999999999995</v>
      </c>
      <c r="G371" s="22">
        <f t="shared" si="8"/>
        <v>518.59969000000001</v>
      </c>
      <c r="H371" s="28">
        <f t="shared" si="6"/>
        <v>98.071045763993965</v>
      </c>
    </row>
    <row r="372" spans="1:8" ht="31.2" outlineLevel="4">
      <c r="A372" s="11" t="s">
        <v>424</v>
      </c>
      <c r="B372" s="12" t="s">
        <v>423</v>
      </c>
      <c r="C372" s="12" t="s">
        <v>425</v>
      </c>
      <c r="D372" s="12" t="s">
        <v>228</v>
      </c>
      <c r="E372" s="12" t="s">
        <v>116</v>
      </c>
      <c r="F372" s="22">
        <f>479+19.8+30</f>
        <v>528.79999999999995</v>
      </c>
      <c r="G372" s="28">
        <v>518.59969000000001</v>
      </c>
      <c r="H372" s="28">
        <f t="shared" si="6"/>
        <v>98.071045763993965</v>
      </c>
    </row>
    <row r="373" spans="1:8" ht="31.2" outlineLevel="1">
      <c r="A373" s="13" t="s">
        <v>426</v>
      </c>
      <c r="B373" s="14" t="s">
        <v>427</v>
      </c>
      <c r="C373" s="14"/>
      <c r="D373" s="14"/>
      <c r="E373" s="14"/>
      <c r="F373" s="24">
        <f t="shared" ref="F373:G375" si="9">F374</f>
        <v>1000</v>
      </c>
      <c r="G373" s="24">
        <f t="shared" si="9"/>
        <v>1000</v>
      </c>
      <c r="H373" s="30">
        <f t="shared" si="6"/>
        <v>100</v>
      </c>
    </row>
    <row r="374" spans="1:8" ht="46.8" outlineLevel="2">
      <c r="A374" s="11" t="s">
        <v>428</v>
      </c>
      <c r="B374" s="12" t="s">
        <v>429</v>
      </c>
      <c r="C374" s="12"/>
      <c r="D374" s="12"/>
      <c r="E374" s="12"/>
      <c r="F374" s="22">
        <f t="shared" si="9"/>
        <v>1000</v>
      </c>
      <c r="G374" s="22">
        <f t="shared" si="9"/>
        <v>1000</v>
      </c>
      <c r="H374" s="28">
        <f t="shared" si="6"/>
        <v>100</v>
      </c>
    </row>
    <row r="375" spans="1:8" ht="46.8" outlineLevel="3">
      <c r="A375" s="11" t="s">
        <v>430</v>
      </c>
      <c r="B375" s="12" t="s">
        <v>431</v>
      </c>
      <c r="C375" s="12"/>
      <c r="D375" s="12"/>
      <c r="E375" s="12"/>
      <c r="F375" s="22">
        <f t="shared" si="9"/>
        <v>1000</v>
      </c>
      <c r="G375" s="22">
        <f t="shared" si="9"/>
        <v>1000</v>
      </c>
      <c r="H375" s="28">
        <f t="shared" si="6"/>
        <v>100</v>
      </c>
    </row>
    <row r="376" spans="1:8" ht="62.4" outlineLevel="4">
      <c r="A376" s="11" t="s">
        <v>119</v>
      </c>
      <c r="B376" s="12" t="s">
        <v>431</v>
      </c>
      <c r="C376" s="15" t="s">
        <v>120</v>
      </c>
      <c r="D376" s="15" t="s">
        <v>250</v>
      </c>
      <c r="E376" s="15" t="s">
        <v>92</v>
      </c>
      <c r="F376" s="25">
        <v>1000</v>
      </c>
      <c r="G376" s="28">
        <v>1000</v>
      </c>
      <c r="H376" s="28">
        <f t="shared" si="6"/>
        <v>100</v>
      </c>
    </row>
    <row r="377" spans="1:8" ht="31.2">
      <c r="A377" s="9" t="s">
        <v>432</v>
      </c>
      <c r="B377" s="10" t="s">
        <v>433</v>
      </c>
      <c r="C377" s="16"/>
      <c r="D377" s="16"/>
      <c r="E377" s="16"/>
      <c r="F377" s="26">
        <f>F378+F446+F461</f>
        <v>1031343.5000000001</v>
      </c>
      <c r="G377" s="26">
        <f>G378+G446+G461</f>
        <v>1031170.5731200001</v>
      </c>
      <c r="H377" s="29">
        <f t="shared" si="6"/>
        <v>99.983232853069808</v>
      </c>
    </row>
    <row r="378" spans="1:8" ht="31.2" outlineLevel="1">
      <c r="A378" s="13" t="s">
        <v>434</v>
      </c>
      <c r="B378" s="14" t="s">
        <v>435</v>
      </c>
      <c r="C378" s="14"/>
      <c r="D378" s="14"/>
      <c r="E378" s="14"/>
      <c r="F378" s="24">
        <f>F379+F398+F426+F437</f>
        <v>938525.47113000008</v>
      </c>
      <c r="G378" s="24">
        <f>G379+G398+G426+G437</f>
        <v>938417.20838000008</v>
      </c>
      <c r="H378" s="30">
        <f t="shared" si="6"/>
        <v>99.988464591177305</v>
      </c>
    </row>
    <row r="379" spans="1:8" ht="46.8" outlineLevel="2">
      <c r="A379" s="11" t="s">
        <v>436</v>
      </c>
      <c r="B379" s="12" t="s">
        <v>437</v>
      </c>
      <c r="C379" s="12"/>
      <c r="D379" s="12"/>
      <c r="E379" s="12"/>
      <c r="F379" s="22">
        <f>F380+F382+F384+F386+F388+F391+F394+F396</f>
        <v>453595.27521000005</v>
      </c>
      <c r="G379" s="22">
        <f>G380+G382+G384+G386+G388+G391+G394+G396</f>
        <v>453595.27520999999</v>
      </c>
      <c r="H379" s="28">
        <f t="shared" si="6"/>
        <v>99.999999999999986</v>
      </c>
    </row>
    <row r="380" spans="1:8" ht="31.2" outlineLevel="3">
      <c r="A380" s="11" t="s">
        <v>438</v>
      </c>
      <c r="B380" s="12" t="s">
        <v>439</v>
      </c>
      <c r="C380" s="12"/>
      <c r="D380" s="12"/>
      <c r="E380" s="12"/>
      <c r="F380" s="22">
        <f>F381</f>
        <v>3947</v>
      </c>
      <c r="G380" s="22">
        <f>G381</f>
        <v>3947</v>
      </c>
      <c r="H380" s="28">
        <f t="shared" si="6"/>
        <v>100</v>
      </c>
    </row>
    <row r="381" spans="1:8" ht="62.4" outlineLevel="4">
      <c r="A381" s="11" t="s">
        <v>119</v>
      </c>
      <c r="B381" s="12" t="s">
        <v>439</v>
      </c>
      <c r="C381" s="12" t="s">
        <v>120</v>
      </c>
      <c r="D381" s="12" t="s">
        <v>250</v>
      </c>
      <c r="E381" s="12" t="s">
        <v>116</v>
      </c>
      <c r="F381" s="22">
        <v>3947</v>
      </c>
      <c r="G381" s="22">
        <v>3947</v>
      </c>
      <c r="H381" s="28">
        <f t="shared" si="6"/>
        <v>100</v>
      </c>
    </row>
    <row r="382" spans="1:8" outlineLevel="3">
      <c r="A382" s="11" t="s">
        <v>440</v>
      </c>
      <c r="B382" s="12" t="s">
        <v>441</v>
      </c>
      <c r="C382" s="12"/>
      <c r="D382" s="12"/>
      <c r="E382" s="12"/>
      <c r="F382" s="22">
        <f>F383</f>
        <v>2857.06</v>
      </c>
      <c r="G382" s="22">
        <f>G383</f>
        <v>2857.0562300000001</v>
      </c>
      <c r="H382" s="28">
        <f t="shared" si="6"/>
        <v>99.999868046173347</v>
      </c>
    </row>
    <row r="383" spans="1:8" ht="62.4" outlineLevel="4">
      <c r="A383" s="11" t="s">
        <v>119</v>
      </c>
      <c r="B383" s="12" t="s">
        <v>441</v>
      </c>
      <c r="C383" s="12" t="s">
        <v>120</v>
      </c>
      <c r="D383" s="12" t="s">
        <v>250</v>
      </c>
      <c r="E383" s="12" t="s">
        <v>116</v>
      </c>
      <c r="F383" s="22">
        <f>2999.7-142.64</f>
        <v>2857.06</v>
      </c>
      <c r="G383" s="22">
        <v>2857.0562300000001</v>
      </c>
      <c r="H383" s="28">
        <f t="shared" si="6"/>
        <v>99.999868046173347</v>
      </c>
    </row>
    <row r="384" spans="1:8" ht="31.2" outlineLevel="3">
      <c r="A384" s="11" t="s">
        <v>442</v>
      </c>
      <c r="B384" s="12" t="s">
        <v>443</v>
      </c>
      <c r="C384" s="12"/>
      <c r="D384" s="12"/>
      <c r="E384" s="12"/>
      <c r="F384" s="22">
        <f>F385</f>
        <v>150</v>
      </c>
      <c r="G384" s="22">
        <f>G385</f>
        <v>150</v>
      </c>
      <c r="H384" s="28">
        <f t="shared" si="6"/>
        <v>100</v>
      </c>
    </row>
    <row r="385" spans="1:8" ht="31.2" outlineLevel="4">
      <c r="A385" s="11" t="s">
        <v>161</v>
      </c>
      <c r="B385" s="12" t="s">
        <v>443</v>
      </c>
      <c r="C385" s="12" t="s">
        <v>162</v>
      </c>
      <c r="D385" s="12" t="s">
        <v>250</v>
      </c>
      <c r="E385" s="12" t="s">
        <v>116</v>
      </c>
      <c r="F385" s="22">
        <v>150</v>
      </c>
      <c r="G385" s="22">
        <v>150</v>
      </c>
      <c r="H385" s="28">
        <f t="shared" si="6"/>
        <v>100</v>
      </c>
    </row>
    <row r="386" spans="1:8" ht="46.8" outlineLevel="3">
      <c r="A386" s="11" t="s">
        <v>444</v>
      </c>
      <c r="B386" s="12" t="s">
        <v>445</v>
      </c>
      <c r="C386" s="12"/>
      <c r="D386" s="12"/>
      <c r="E386" s="12"/>
      <c r="F386" s="22">
        <f>F387</f>
        <v>221638</v>
      </c>
      <c r="G386" s="22">
        <f>G387</f>
        <v>221638</v>
      </c>
      <c r="H386" s="28">
        <f t="shared" si="6"/>
        <v>100</v>
      </c>
    </row>
    <row r="387" spans="1:8" ht="62.4" outlineLevel="4">
      <c r="A387" s="11" t="s">
        <v>119</v>
      </c>
      <c r="B387" s="12" t="s">
        <v>445</v>
      </c>
      <c r="C387" s="12" t="s">
        <v>120</v>
      </c>
      <c r="D387" s="12" t="s">
        <v>250</v>
      </c>
      <c r="E387" s="12" t="s">
        <v>116</v>
      </c>
      <c r="F387" s="22">
        <v>221638</v>
      </c>
      <c r="G387" s="22">
        <v>221638</v>
      </c>
      <c r="H387" s="28">
        <f t="shared" si="6"/>
        <v>100</v>
      </c>
    </row>
    <row r="388" spans="1:8" ht="31.2" outlineLevel="3">
      <c r="A388" s="11" t="s">
        <v>446</v>
      </c>
      <c r="B388" s="12" t="s">
        <v>447</v>
      </c>
      <c r="C388" s="12"/>
      <c r="D388" s="12"/>
      <c r="E388" s="12"/>
      <c r="F388" s="22">
        <f>F389+F390</f>
        <v>1169.1000000000001</v>
      </c>
      <c r="G388" s="22">
        <f>G389+G390</f>
        <v>1169.1000000000001</v>
      </c>
      <c r="H388" s="28">
        <f t="shared" si="6"/>
        <v>100</v>
      </c>
    </row>
    <row r="389" spans="1:8" ht="31.2" outlineLevel="4">
      <c r="A389" s="11" t="s">
        <v>105</v>
      </c>
      <c r="B389" s="12" t="s">
        <v>447</v>
      </c>
      <c r="C389" s="12" t="s">
        <v>106</v>
      </c>
      <c r="D389" s="12" t="s">
        <v>163</v>
      </c>
      <c r="E389" s="12" t="s">
        <v>154</v>
      </c>
      <c r="F389" s="22">
        <f>12.7-1.118</f>
        <v>11.581999999999999</v>
      </c>
      <c r="G389" s="22">
        <f>12.7-1.118</f>
        <v>11.581999999999999</v>
      </c>
      <c r="H389" s="28">
        <f t="shared" si="6"/>
        <v>100</v>
      </c>
    </row>
    <row r="390" spans="1:8" ht="31.2" outlineLevel="4">
      <c r="A390" s="11" t="s">
        <v>161</v>
      </c>
      <c r="B390" s="12" t="s">
        <v>447</v>
      </c>
      <c r="C390" s="12" t="s">
        <v>162</v>
      </c>
      <c r="D390" s="12" t="s">
        <v>163</v>
      </c>
      <c r="E390" s="12" t="s">
        <v>154</v>
      </c>
      <c r="F390" s="22">
        <f>1269.3-111.782</f>
        <v>1157.518</v>
      </c>
      <c r="G390" s="22">
        <f>1269.3-111.782</f>
        <v>1157.518</v>
      </c>
      <c r="H390" s="28">
        <f t="shared" si="6"/>
        <v>100</v>
      </c>
    </row>
    <row r="391" spans="1:8" ht="62.4" outlineLevel="3">
      <c r="A391" s="11" t="s">
        <v>41</v>
      </c>
      <c r="B391" s="12" t="s">
        <v>448</v>
      </c>
      <c r="C391" s="12"/>
      <c r="D391" s="12"/>
      <c r="E391" s="12"/>
      <c r="F391" s="22">
        <f>F392+F393</f>
        <v>36499.899999999994</v>
      </c>
      <c r="G391" s="22">
        <f>G392+G393</f>
        <v>36499.899999999994</v>
      </c>
      <c r="H391" s="28">
        <f t="shared" si="6"/>
        <v>100</v>
      </c>
    </row>
    <row r="392" spans="1:8" ht="31.2" outlineLevel="4">
      <c r="A392" s="11" t="s">
        <v>105</v>
      </c>
      <c r="B392" s="12" t="s">
        <v>448</v>
      </c>
      <c r="C392" s="12" t="s">
        <v>106</v>
      </c>
      <c r="D392" s="12" t="s">
        <v>163</v>
      </c>
      <c r="E392" s="12" t="s">
        <v>89</v>
      </c>
      <c r="F392" s="22">
        <f>274+2+25.349+34.629+30.021-4.10808</f>
        <v>361.89092000000005</v>
      </c>
      <c r="G392" s="22">
        <f>274+2+25.349+34.629+30.021-4.10808</f>
        <v>361.89092000000005</v>
      </c>
      <c r="H392" s="28">
        <f t="shared" si="6"/>
        <v>100</v>
      </c>
    </row>
    <row r="393" spans="1:8" ht="31.2" outlineLevel="4">
      <c r="A393" s="11" t="s">
        <v>161</v>
      </c>
      <c r="B393" s="12" t="s">
        <v>448</v>
      </c>
      <c r="C393" s="12" t="s">
        <v>162</v>
      </c>
      <c r="D393" s="12" t="s">
        <v>163</v>
      </c>
      <c r="E393" s="12" t="s">
        <v>89</v>
      </c>
      <c r="F393" s="22">
        <f>27369-2+2366.551+3428.271+2972.079+4.10808</f>
        <v>36138.009079999996</v>
      </c>
      <c r="G393" s="22">
        <f>27369-2+2366.551+3428.271+2972.079+4.10808</f>
        <v>36138.009079999996</v>
      </c>
      <c r="H393" s="28">
        <f t="shared" si="6"/>
        <v>100</v>
      </c>
    </row>
    <row r="394" spans="1:8" ht="46.8" outlineLevel="3">
      <c r="A394" s="11" t="s">
        <v>449</v>
      </c>
      <c r="B394" s="12" t="s">
        <v>450</v>
      </c>
      <c r="C394" s="12"/>
      <c r="D394" s="12"/>
      <c r="E394" s="12"/>
      <c r="F394" s="22">
        <f>F395</f>
        <v>870.37521000000004</v>
      </c>
      <c r="G394" s="22">
        <f>G395</f>
        <v>870.37521000000004</v>
      </c>
      <c r="H394" s="28">
        <f t="shared" si="6"/>
        <v>100</v>
      </c>
    </row>
    <row r="395" spans="1:8" ht="62.4" outlineLevel="4">
      <c r="A395" s="11" t="s">
        <v>119</v>
      </c>
      <c r="B395" s="12" t="s">
        <v>450</v>
      </c>
      <c r="C395" s="12" t="s">
        <v>120</v>
      </c>
      <c r="D395" s="12" t="s">
        <v>250</v>
      </c>
      <c r="E395" s="12" t="s">
        <v>116</v>
      </c>
      <c r="F395" s="22">
        <f>942.4+48.6-120.62479</f>
        <v>870.37521000000004</v>
      </c>
      <c r="G395" s="22">
        <f>942.4+48.6-120.62479</f>
        <v>870.37521000000004</v>
      </c>
      <c r="H395" s="28">
        <f t="shared" ref="H395:H458" si="10">G395/F395*100</f>
        <v>100</v>
      </c>
    </row>
    <row r="396" spans="1:8" ht="31.2" outlineLevel="3">
      <c r="A396" s="11" t="s">
        <v>451</v>
      </c>
      <c r="B396" s="12" t="s">
        <v>452</v>
      </c>
      <c r="C396" s="12"/>
      <c r="D396" s="12"/>
      <c r="E396" s="12"/>
      <c r="F396" s="22">
        <f>F397</f>
        <v>186463.84000000003</v>
      </c>
      <c r="G396" s="22">
        <f>G397</f>
        <v>186463.84377000001</v>
      </c>
      <c r="H396" s="28">
        <f t="shared" si="10"/>
        <v>100.00000202183972</v>
      </c>
    </row>
    <row r="397" spans="1:8" ht="62.4" outlineLevel="4">
      <c r="A397" s="11" t="s">
        <v>119</v>
      </c>
      <c r="B397" s="12" t="s">
        <v>452</v>
      </c>
      <c r="C397" s="12" t="s">
        <v>120</v>
      </c>
      <c r="D397" s="12" t="s">
        <v>250</v>
      </c>
      <c r="E397" s="12" t="s">
        <v>116</v>
      </c>
      <c r="F397" s="22">
        <f>176601.6+929.6+4742.5+590.14+3600</f>
        <v>186463.84000000003</v>
      </c>
      <c r="G397" s="22">
        <v>186463.84377000001</v>
      </c>
      <c r="H397" s="28">
        <f t="shared" si="10"/>
        <v>100.00000202183972</v>
      </c>
    </row>
    <row r="398" spans="1:8" ht="46.8" outlineLevel="2">
      <c r="A398" s="11" t="s">
        <v>453</v>
      </c>
      <c r="B398" s="12" t="s">
        <v>454</v>
      </c>
      <c r="C398" s="12"/>
      <c r="D398" s="12"/>
      <c r="E398" s="12"/>
      <c r="F398" s="22">
        <f>F399+F402+F404+F406+F408+F410+F412+F416+F418+F422+F424+F414+F420</f>
        <v>431426.11592000007</v>
      </c>
      <c r="G398" s="22">
        <f>G399+G402+G404+G406+G408+G410+G412+G416+G418+G422+G424+G414+G420</f>
        <v>431426.11592000007</v>
      </c>
      <c r="H398" s="28">
        <f t="shared" si="10"/>
        <v>100</v>
      </c>
    </row>
    <row r="399" spans="1:8" ht="46.8" outlineLevel="3">
      <c r="A399" s="11" t="s">
        <v>635</v>
      </c>
      <c r="B399" s="12" t="s">
        <v>455</v>
      </c>
      <c r="C399" s="12"/>
      <c r="D399" s="12"/>
      <c r="E399" s="12"/>
      <c r="F399" s="22">
        <f>F401+F400</f>
        <v>210</v>
      </c>
      <c r="G399" s="22">
        <f>G401+G400</f>
        <v>210</v>
      </c>
      <c r="H399" s="28">
        <f t="shared" si="10"/>
        <v>100</v>
      </c>
    </row>
    <row r="400" spans="1:8" ht="31.2" outlineLevel="3">
      <c r="A400" s="11" t="s">
        <v>105</v>
      </c>
      <c r="B400" s="12" t="s">
        <v>455</v>
      </c>
      <c r="C400" s="12" t="s">
        <v>106</v>
      </c>
      <c r="D400" s="12" t="s">
        <v>250</v>
      </c>
      <c r="E400" s="12" t="s">
        <v>92</v>
      </c>
      <c r="F400" s="22">
        <v>18.920000000000002</v>
      </c>
      <c r="G400" s="22">
        <v>18.920000000000002</v>
      </c>
      <c r="H400" s="28">
        <f t="shared" si="10"/>
        <v>100</v>
      </c>
    </row>
    <row r="401" spans="1:8" ht="62.4" outlineLevel="4">
      <c r="A401" s="11" t="s">
        <v>119</v>
      </c>
      <c r="B401" s="12" t="s">
        <v>455</v>
      </c>
      <c r="C401" s="12" t="s">
        <v>120</v>
      </c>
      <c r="D401" s="12" t="s">
        <v>250</v>
      </c>
      <c r="E401" s="12" t="s">
        <v>92</v>
      </c>
      <c r="F401" s="22">
        <f>210-18.92</f>
        <v>191.07999999999998</v>
      </c>
      <c r="G401" s="22">
        <f>210-18.92</f>
        <v>191.07999999999998</v>
      </c>
      <c r="H401" s="28">
        <f t="shared" si="10"/>
        <v>100</v>
      </c>
    </row>
    <row r="402" spans="1:8" ht="31.2" outlineLevel="3">
      <c r="A402" s="11" t="s">
        <v>456</v>
      </c>
      <c r="B402" s="12" t="s">
        <v>457</v>
      </c>
      <c r="C402" s="12"/>
      <c r="D402" s="12"/>
      <c r="E402" s="12"/>
      <c r="F402" s="22">
        <f>F403</f>
        <v>923.3</v>
      </c>
      <c r="G402" s="22">
        <f>G403</f>
        <v>923.3</v>
      </c>
      <c r="H402" s="28">
        <f t="shared" si="10"/>
        <v>100</v>
      </c>
    </row>
    <row r="403" spans="1:8" ht="62.4" outlineLevel="4">
      <c r="A403" s="11" t="s">
        <v>119</v>
      </c>
      <c r="B403" s="12" t="s">
        <v>457</v>
      </c>
      <c r="C403" s="12" t="s">
        <v>120</v>
      </c>
      <c r="D403" s="12" t="s">
        <v>250</v>
      </c>
      <c r="E403" s="12" t="s">
        <v>92</v>
      </c>
      <c r="F403" s="22">
        <v>923.3</v>
      </c>
      <c r="G403" s="22">
        <v>923.3</v>
      </c>
      <c r="H403" s="28">
        <f t="shared" si="10"/>
        <v>100</v>
      </c>
    </row>
    <row r="404" spans="1:8" outlineLevel="3">
      <c r="A404" s="11" t="s">
        <v>458</v>
      </c>
      <c r="B404" s="12" t="s">
        <v>459</v>
      </c>
      <c r="C404" s="12"/>
      <c r="D404" s="12"/>
      <c r="E404" s="12"/>
      <c r="F404" s="22">
        <f>F405</f>
        <v>5563.9000000000005</v>
      </c>
      <c r="G404" s="22">
        <f>G405</f>
        <v>5563.9000000000005</v>
      </c>
      <c r="H404" s="28">
        <f t="shared" si="10"/>
        <v>100</v>
      </c>
    </row>
    <row r="405" spans="1:8" ht="62.4" outlineLevel="4">
      <c r="A405" s="11" t="s">
        <v>119</v>
      </c>
      <c r="B405" s="12" t="s">
        <v>459</v>
      </c>
      <c r="C405" s="12" t="s">
        <v>120</v>
      </c>
      <c r="D405" s="12" t="s">
        <v>250</v>
      </c>
      <c r="E405" s="12" t="s">
        <v>92</v>
      </c>
      <c r="F405" s="22">
        <f>5510.3+53.6</f>
        <v>5563.9000000000005</v>
      </c>
      <c r="G405" s="22">
        <f>5510.3+53.6</f>
        <v>5563.9000000000005</v>
      </c>
      <c r="H405" s="28">
        <f t="shared" si="10"/>
        <v>100</v>
      </c>
    </row>
    <row r="406" spans="1:8" ht="31.2" outlineLevel="3">
      <c r="A406" s="11" t="s">
        <v>460</v>
      </c>
      <c r="B406" s="12" t="s">
        <v>461</v>
      </c>
      <c r="C406" s="12"/>
      <c r="D406" s="12"/>
      <c r="E406" s="12"/>
      <c r="F406" s="22">
        <f>F407</f>
        <v>200</v>
      </c>
      <c r="G406" s="22">
        <f>G407</f>
        <v>200</v>
      </c>
      <c r="H406" s="28">
        <f t="shared" si="10"/>
        <v>100</v>
      </c>
    </row>
    <row r="407" spans="1:8" ht="31.2" outlineLevel="4">
      <c r="A407" s="11" t="s">
        <v>161</v>
      </c>
      <c r="B407" s="12" t="s">
        <v>461</v>
      </c>
      <c r="C407" s="12" t="s">
        <v>162</v>
      </c>
      <c r="D407" s="12" t="s">
        <v>250</v>
      </c>
      <c r="E407" s="12" t="s">
        <v>92</v>
      </c>
      <c r="F407" s="22">
        <v>200</v>
      </c>
      <c r="G407" s="22">
        <v>200</v>
      </c>
      <c r="H407" s="28">
        <f t="shared" si="10"/>
        <v>100</v>
      </c>
    </row>
    <row r="408" spans="1:8" ht="31.2" outlineLevel="3">
      <c r="A408" s="11" t="s">
        <v>462</v>
      </c>
      <c r="B408" s="12" t="s">
        <v>463</v>
      </c>
      <c r="C408" s="12"/>
      <c r="D408" s="12"/>
      <c r="E408" s="12"/>
      <c r="F408" s="22">
        <f>F409</f>
        <v>100</v>
      </c>
      <c r="G408" s="22">
        <f>G409</f>
        <v>100</v>
      </c>
      <c r="H408" s="28">
        <f t="shared" si="10"/>
        <v>100</v>
      </c>
    </row>
    <row r="409" spans="1:8" ht="31.2" outlineLevel="4">
      <c r="A409" s="11" t="s">
        <v>161</v>
      </c>
      <c r="B409" s="12" t="s">
        <v>463</v>
      </c>
      <c r="C409" s="12" t="s">
        <v>162</v>
      </c>
      <c r="D409" s="12" t="s">
        <v>250</v>
      </c>
      <c r="E409" s="12" t="s">
        <v>92</v>
      </c>
      <c r="F409" s="22">
        <v>100</v>
      </c>
      <c r="G409" s="22">
        <v>100</v>
      </c>
      <c r="H409" s="28">
        <f t="shared" si="10"/>
        <v>100</v>
      </c>
    </row>
    <row r="410" spans="1:8" ht="109.2" outlineLevel="3">
      <c r="A410" s="11" t="s">
        <v>464</v>
      </c>
      <c r="B410" s="12" t="s">
        <v>465</v>
      </c>
      <c r="C410" s="12"/>
      <c r="D410" s="12"/>
      <c r="E410" s="12"/>
      <c r="F410" s="22">
        <f>F411</f>
        <v>322652.40000000002</v>
      </c>
      <c r="G410" s="22">
        <f>G411</f>
        <v>322652.40000000002</v>
      </c>
      <c r="H410" s="28">
        <f t="shared" si="10"/>
        <v>100</v>
      </c>
    </row>
    <row r="411" spans="1:8" ht="62.4" outlineLevel="4">
      <c r="A411" s="11" t="s">
        <v>119</v>
      </c>
      <c r="B411" s="12" t="s">
        <v>465</v>
      </c>
      <c r="C411" s="12" t="s">
        <v>120</v>
      </c>
      <c r="D411" s="12" t="s">
        <v>250</v>
      </c>
      <c r="E411" s="12" t="s">
        <v>92</v>
      </c>
      <c r="F411" s="22">
        <f>314168+8484.4</f>
        <v>322652.40000000002</v>
      </c>
      <c r="G411" s="22">
        <f>314168+8484.4</f>
        <v>322652.40000000002</v>
      </c>
      <c r="H411" s="28">
        <f t="shared" si="10"/>
        <v>100</v>
      </c>
    </row>
    <row r="412" spans="1:8" ht="109.2" outlineLevel="3">
      <c r="A412" s="11" t="s">
        <v>466</v>
      </c>
      <c r="B412" s="12" t="s">
        <v>467</v>
      </c>
      <c r="C412" s="12"/>
      <c r="D412" s="12"/>
      <c r="E412" s="12"/>
      <c r="F412" s="22">
        <f>F413</f>
        <v>11537</v>
      </c>
      <c r="G412" s="22">
        <f>G413</f>
        <v>11537</v>
      </c>
      <c r="H412" s="28">
        <f t="shared" si="10"/>
        <v>100</v>
      </c>
    </row>
    <row r="413" spans="1:8" ht="62.4" outlineLevel="4">
      <c r="A413" s="11" t="s">
        <v>119</v>
      </c>
      <c r="B413" s="12" t="s">
        <v>467</v>
      </c>
      <c r="C413" s="12" t="s">
        <v>120</v>
      </c>
      <c r="D413" s="12" t="s">
        <v>250</v>
      </c>
      <c r="E413" s="12" t="s">
        <v>92</v>
      </c>
      <c r="F413" s="22">
        <v>11537</v>
      </c>
      <c r="G413" s="22">
        <v>11537</v>
      </c>
      <c r="H413" s="28">
        <f t="shared" si="10"/>
        <v>100</v>
      </c>
    </row>
    <row r="414" spans="1:8" ht="46.8" outlineLevel="4">
      <c r="A414" s="11" t="s">
        <v>629</v>
      </c>
      <c r="B414" s="12" t="s">
        <v>627</v>
      </c>
      <c r="C414" s="12"/>
      <c r="D414" s="12"/>
      <c r="E414" s="12"/>
      <c r="F414" s="22">
        <f>F415</f>
        <v>1000</v>
      </c>
      <c r="G414" s="22">
        <f>G415</f>
        <v>1000</v>
      </c>
      <c r="H414" s="28">
        <f t="shared" si="10"/>
        <v>100</v>
      </c>
    </row>
    <row r="415" spans="1:8" ht="46.8" outlineLevel="4">
      <c r="A415" s="11" t="s">
        <v>628</v>
      </c>
      <c r="B415" s="12" t="s">
        <v>627</v>
      </c>
      <c r="C415" s="12" t="s">
        <v>120</v>
      </c>
      <c r="D415" s="12" t="s">
        <v>250</v>
      </c>
      <c r="E415" s="12" t="s">
        <v>92</v>
      </c>
      <c r="F415" s="22">
        <v>1000</v>
      </c>
      <c r="G415" s="22">
        <v>1000</v>
      </c>
      <c r="H415" s="28">
        <f t="shared" si="10"/>
        <v>100</v>
      </c>
    </row>
    <row r="416" spans="1:8" ht="46.8" outlineLevel="3">
      <c r="A416" s="11" t="s">
        <v>449</v>
      </c>
      <c r="B416" s="12" t="s">
        <v>468</v>
      </c>
      <c r="C416" s="12"/>
      <c r="D416" s="12"/>
      <c r="E416" s="12"/>
      <c r="F416" s="22">
        <f>F417</f>
        <v>875.31592000000001</v>
      </c>
      <c r="G416" s="22">
        <f>G417</f>
        <v>875.31592000000001</v>
      </c>
      <c r="H416" s="28">
        <f t="shared" si="10"/>
        <v>100</v>
      </c>
    </row>
    <row r="417" spans="1:8" ht="62.4" outlineLevel="4">
      <c r="A417" s="11" t="s">
        <v>119</v>
      </c>
      <c r="B417" s="12" t="s">
        <v>468</v>
      </c>
      <c r="C417" s="12" t="s">
        <v>120</v>
      </c>
      <c r="D417" s="12" t="s">
        <v>250</v>
      </c>
      <c r="E417" s="12" t="s">
        <v>92</v>
      </c>
      <c r="F417" s="22">
        <f>907+70.5-102.18408</f>
        <v>875.31592000000001</v>
      </c>
      <c r="G417" s="22">
        <f>907+70.5-102.18408</f>
        <v>875.31592000000001</v>
      </c>
      <c r="H417" s="28">
        <f t="shared" si="10"/>
        <v>100</v>
      </c>
    </row>
    <row r="418" spans="1:8" ht="78" outlineLevel="3">
      <c r="A418" s="11" t="s">
        <v>469</v>
      </c>
      <c r="B418" s="12" t="s">
        <v>470</v>
      </c>
      <c r="C418" s="12"/>
      <c r="D418" s="12"/>
      <c r="E418" s="12"/>
      <c r="F418" s="22">
        <f>F419</f>
        <v>1208.5</v>
      </c>
      <c r="G418" s="22">
        <f>G419</f>
        <v>1208.5</v>
      </c>
      <c r="H418" s="28">
        <f t="shared" si="10"/>
        <v>100</v>
      </c>
    </row>
    <row r="419" spans="1:8" ht="62.4" outlineLevel="4">
      <c r="A419" s="11" t="s">
        <v>119</v>
      </c>
      <c r="B419" s="12" t="s">
        <v>470</v>
      </c>
      <c r="C419" s="12" t="s">
        <v>120</v>
      </c>
      <c r="D419" s="12" t="s">
        <v>250</v>
      </c>
      <c r="E419" s="12" t="s">
        <v>92</v>
      </c>
      <c r="F419" s="22">
        <v>1208.5</v>
      </c>
      <c r="G419" s="22">
        <v>1208.5</v>
      </c>
      <c r="H419" s="28">
        <f t="shared" si="10"/>
        <v>100</v>
      </c>
    </row>
    <row r="420" spans="1:8" ht="31.2" outlineLevel="4">
      <c r="A420" s="11" t="s">
        <v>626</v>
      </c>
      <c r="B420" s="12" t="s">
        <v>625</v>
      </c>
      <c r="C420" s="12"/>
      <c r="D420" s="12"/>
      <c r="E420" s="12"/>
      <c r="F420" s="22">
        <f>F421</f>
        <v>50</v>
      </c>
      <c r="G420" s="22">
        <f>G421</f>
        <v>50</v>
      </c>
      <c r="H420" s="28">
        <f t="shared" si="10"/>
        <v>100</v>
      </c>
    </row>
    <row r="421" spans="1:8" ht="31.2" outlineLevel="4">
      <c r="A421" s="11" t="s">
        <v>161</v>
      </c>
      <c r="B421" s="12" t="s">
        <v>625</v>
      </c>
      <c r="C421" s="12" t="s">
        <v>162</v>
      </c>
      <c r="D421" s="12" t="s">
        <v>250</v>
      </c>
      <c r="E421" s="12" t="s">
        <v>92</v>
      </c>
      <c r="F421" s="22">
        <v>50</v>
      </c>
      <c r="G421" s="22">
        <v>50</v>
      </c>
      <c r="H421" s="28">
        <f t="shared" si="10"/>
        <v>100</v>
      </c>
    </row>
    <row r="422" spans="1:8" ht="31.2" outlineLevel="3">
      <c r="A422" s="11" t="s">
        <v>471</v>
      </c>
      <c r="B422" s="12" t="s">
        <v>472</v>
      </c>
      <c r="C422" s="12"/>
      <c r="D422" s="12"/>
      <c r="E422" s="12"/>
      <c r="F422" s="22">
        <f>F423</f>
        <v>3205.7</v>
      </c>
      <c r="G422" s="22">
        <f>G423</f>
        <v>3205.7</v>
      </c>
      <c r="H422" s="28">
        <f t="shared" si="10"/>
        <v>100</v>
      </c>
    </row>
    <row r="423" spans="1:8" ht="62.4" outlineLevel="4">
      <c r="A423" s="11" t="s">
        <v>119</v>
      </c>
      <c r="B423" s="12" t="s">
        <v>472</v>
      </c>
      <c r="C423" s="12" t="s">
        <v>120</v>
      </c>
      <c r="D423" s="12" t="s">
        <v>250</v>
      </c>
      <c r="E423" s="12" t="s">
        <v>92</v>
      </c>
      <c r="F423" s="22">
        <v>3205.7</v>
      </c>
      <c r="G423" s="22">
        <v>3205.7</v>
      </c>
      <c r="H423" s="28">
        <f t="shared" si="10"/>
        <v>100</v>
      </c>
    </row>
    <row r="424" spans="1:8" ht="31.2" outlineLevel="3">
      <c r="A424" s="11" t="s">
        <v>473</v>
      </c>
      <c r="B424" s="12" t="s">
        <v>474</v>
      </c>
      <c r="C424" s="12"/>
      <c r="D424" s="12"/>
      <c r="E424" s="12"/>
      <c r="F424" s="22">
        <f>F425</f>
        <v>83900</v>
      </c>
      <c r="G424" s="22">
        <f>G425</f>
        <v>83900</v>
      </c>
      <c r="H424" s="28">
        <f t="shared" si="10"/>
        <v>100</v>
      </c>
    </row>
    <row r="425" spans="1:8" ht="62.4" outlineLevel="4">
      <c r="A425" s="11" t="s">
        <v>119</v>
      </c>
      <c r="B425" s="12" t="s">
        <v>474</v>
      </c>
      <c r="C425" s="12" t="s">
        <v>120</v>
      </c>
      <c r="D425" s="12" t="s">
        <v>250</v>
      </c>
      <c r="E425" s="12" t="s">
        <v>92</v>
      </c>
      <c r="F425" s="22">
        <f>87500-3600</f>
        <v>83900</v>
      </c>
      <c r="G425" s="22">
        <f>87500-3600</f>
        <v>83900</v>
      </c>
      <c r="H425" s="28">
        <f t="shared" si="10"/>
        <v>100</v>
      </c>
    </row>
    <row r="426" spans="1:8" ht="31.2" outlineLevel="2">
      <c r="A426" s="11" t="s">
        <v>475</v>
      </c>
      <c r="B426" s="12" t="s">
        <v>476</v>
      </c>
      <c r="C426" s="12"/>
      <c r="D426" s="12"/>
      <c r="E426" s="12"/>
      <c r="F426" s="22">
        <f>F427+F429+F432</f>
        <v>34198.080000000002</v>
      </c>
      <c r="G426" s="22">
        <f>G427+G429+G432</f>
        <v>34198.080000000002</v>
      </c>
      <c r="H426" s="28">
        <f t="shared" si="10"/>
        <v>100</v>
      </c>
    </row>
    <row r="427" spans="1:8" ht="31.2" outlineLevel="3">
      <c r="A427" s="11" t="s">
        <v>477</v>
      </c>
      <c r="B427" s="12" t="s">
        <v>478</v>
      </c>
      <c r="C427" s="12"/>
      <c r="D427" s="12"/>
      <c r="E427" s="12"/>
      <c r="F427" s="22">
        <f>F428</f>
        <v>90</v>
      </c>
      <c r="G427" s="22">
        <f>G428</f>
        <v>90</v>
      </c>
      <c r="H427" s="28">
        <f t="shared" si="10"/>
        <v>100</v>
      </c>
    </row>
    <row r="428" spans="1:8" ht="31.2" outlineLevel="4">
      <c r="A428" s="11" t="s">
        <v>161</v>
      </c>
      <c r="B428" s="12" t="s">
        <v>478</v>
      </c>
      <c r="C428" s="12" t="s">
        <v>162</v>
      </c>
      <c r="D428" s="12" t="s">
        <v>250</v>
      </c>
      <c r="E428" s="12" t="s">
        <v>92</v>
      </c>
      <c r="F428" s="22">
        <v>90</v>
      </c>
      <c r="G428" s="22">
        <v>90</v>
      </c>
      <c r="H428" s="28">
        <f t="shared" si="10"/>
        <v>100</v>
      </c>
    </row>
    <row r="429" spans="1:8" ht="109.2" outlineLevel="3">
      <c r="A429" s="11" t="s">
        <v>479</v>
      </c>
      <c r="B429" s="12" t="s">
        <v>480</v>
      </c>
      <c r="C429" s="12"/>
      <c r="D429" s="12"/>
      <c r="E429" s="12"/>
      <c r="F429" s="22">
        <f>F430+F431</f>
        <v>1762.1</v>
      </c>
      <c r="G429" s="22">
        <f>G430+G431</f>
        <v>1762.1</v>
      </c>
      <c r="H429" s="28">
        <f t="shared" si="10"/>
        <v>100</v>
      </c>
    </row>
    <row r="430" spans="1:8" ht="93.6" outlineLevel="4">
      <c r="A430" s="11" t="s">
        <v>189</v>
      </c>
      <c r="B430" s="12" t="s">
        <v>480</v>
      </c>
      <c r="C430" s="12" t="s">
        <v>190</v>
      </c>
      <c r="D430" s="12" t="s">
        <v>250</v>
      </c>
      <c r="E430" s="12" t="s">
        <v>92</v>
      </c>
      <c r="F430" s="22">
        <v>929.6</v>
      </c>
      <c r="G430" s="22">
        <v>929.6</v>
      </c>
      <c r="H430" s="28">
        <f t="shared" si="10"/>
        <v>100</v>
      </c>
    </row>
    <row r="431" spans="1:8" ht="62.4" outlineLevel="4">
      <c r="A431" s="11" t="s">
        <v>119</v>
      </c>
      <c r="B431" s="12" t="s">
        <v>480</v>
      </c>
      <c r="C431" s="12" t="s">
        <v>120</v>
      </c>
      <c r="D431" s="12" t="s">
        <v>250</v>
      </c>
      <c r="E431" s="12" t="s">
        <v>92</v>
      </c>
      <c r="F431" s="22">
        <f>337.1+495.4</f>
        <v>832.5</v>
      </c>
      <c r="G431" s="22">
        <f>337.1+495.4</f>
        <v>832.5</v>
      </c>
      <c r="H431" s="28">
        <f t="shared" si="10"/>
        <v>100</v>
      </c>
    </row>
    <row r="432" spans="1:8" ht="31.2" outlineLevel="3">
      <c r="A432" s="11" t="s">
        <v>251</v>
      </c>
      <c r="B432" s="12" t="s">
        <v>481</v>
      </c>
      <c r="C432" s="12"/>
      <c r="D432" s="12"/>
      <c r="E432" s="12"/>
      <c r="F432" s="22">
        <f>F433+F434+F435+F436</f>
        <v>32345.98</v>
      </c>
      <c r="G432" s="22">
        <f>G433+G434+G435+G436</f>
        <v>32345.98</v>
      </c>
      <c r="H432" s="28">
        <f t="shared" si="10"/>
        <v>100</v>
      </c>
    </row>
    <row r="433" spans="1:8" ht="93.6" outlineLevel="4">
      <c r="A433" s="11" t="s">
        <v>189</v>
      </c>
      <c r="B433" s="12" t="s">
        <v>481</v>
      </c>
      <c r="C433" s="12" t="s">
        <v>190</v>
      </c>
      <c r="D433" s="12" t="s">
        <v>250</v>
      </c>
      <c r="E433" s="12" t="s">
        <v>92</v>
      </c>
      <c r="F433" s="22">
        <f>5914.7-347.1-929.6-671</f>
        <v>3966.9999999999991</v>
      </c>
      <c r="G433" s="22">
        <f>5914.7-347.1-929.6-671</f>
        <v>3966.9999999999991</v>
      </c>
      <c r="H433" s="28">
        <f t="shared" si="10"/>
        <v>100</v>
      </c>
    </row>
    <row r="434" spans="1:8" ht="31.2" outlineLevel="4">
      <c r="A434" s="11" t="s">
        <v>105</v>
      </c>
      <c r="B434" s="12" t="s">
        <v>481</v>
      </c>
      <c r="C434" s="12" t="s">
        <v>106</v>
      </c>
      <c r="D434" s="12" t="s">
        <v>250</v>
      </c>
      <c r="E434" s="12" t="s">
        <v>92</v>
      </c>
      <c r="F434" s="22">
        <f>815.4+347.1-2.6-170</f>
        <v>989.90000000000009</v>
      </c>
      <c r="G434" s="22">
        <f>815.4+347.1-2.6-170</f>
        <v>989.90000000000009</v>
      </c>
      <c r="H434" s="28">
        <f t="shared" si="10"/>
        <v>100</v>
      </c>
    </row>
    <row r="435" spans="1:8" ht="62.4" outlineLevel="4">
      <c r="A435" s="11" t="s">
        <v>119</v>
      </c>
      <c r="B435" s="12" t="s">
        <v>481</v>
      </c>
      <c r="C435" s="12" t="s">
        <v>120</v>
      </c>
      <c r="D435" s="12" t="s">
        <v>250</v>
      </c>
      <c r="E435" s="12" t="s">
        <v>92</v>
      </c>
      <c r="F435" s="22">
        <f>27207.3-140.52</f>
        <v>27066.78</v>
      </c>
      <c r="G435" s="22">
        <f>27207.3-140.52</f>
        <v>27066.78</v>
      </c>
      <c r="H435" s="28">
        <f t="shared" si="10"/>
        <v>100</v>
      </c>
    </row>
    <row r="436" spans="1:8" outlineLevel="4">
      <c r="A436" s="11" t="s">
        <v>168</v>
      </c>
      <c r="B436" s="12" t="s">
        <v>481</v>
      </c>
      <c r="C436" s="12" t="s">
        <v>169</v>
      </c>
      <c r="D436" s="12" t="s">
        <v>250</v>
      </c>
      <c r="E436" s="12" t="s">
        <v>92</v>
      </c>
      <c r="F436" s="22">
        <f>319.7+2.6</f>
        <v>322.3</v>
      </c>
      <c r="G436" s="22">
        <f>319.7+2.6</f>
        <v>322.3</v>
      </c>
      <c r="H436" s="28">
        <f t="shared" si="10"/>
        <v>100</v>
      </c>
    </row>
    <row r="437" spans="1:8" ht="31.2" outlineLevel="2">
      <c r="A437" s="11" t="s">
        <v>482</v>
      </c>
      <c r="B437" s="12" t="s">
        <v>483</v>
      </c>
      <c r="C437" s="12"/>
      <c r="D437" s="12"/>
      <c r="E437" s="12"/>
      <c r="F437" s="22">
        <f>F438+F440+F442+F444</f>
        <v>19306</v>
      </c>
      <c r="G437" s="22">
        <f>G438+G440+G442+G444</f>
        <v>19197.737250000002</v>
      </c>
      <c r="H437" s="28">
        <f t="shared" si="10"/>
        <v>99.439227442245951</v>
      </c>
    </row>
    <row r="438" spans="1:8" outlineLevel="3">
      <c r="A438" s="11" t="s">
        <v>484</v>
      </c>
      <c r="B438" s="12" t="s">
        <v>485</v>
      </c>
      <c r="C438" s="12"/>
      <c r="D438" s="12"/>
      <c r="E438" s="12"/>
      <c r="F438" s="22">
        <f>F439</f>
        <v>9775</v>
      </c>
      <c r="G438" s="22">
        <f>G439</f>
        <v>9775</v>
      </c>
      <c r="H438" s="28">
        <f t="shared" si="10"/>
        <v>100</v>
      </c>
    </row>
    <row r="439" spans="1:8" ht="62.4" outlineLevel="4">
      <c r="A439" s="11" t="s">
        <v>119</v>
      </c>
      <c r="B439" s="12" t="s">
        <v>485</v>
      </c>
      <c r="C439" s="12" t="s">
        <v>120</v>
      </c>
      <c r="D439" s="12" t="s">
        <v>250</v>
      </c>
      <c r="E439" s="12" t="s">
        <v>250</v>
      </c>
      <c r="F439" s="22">
        <v>9775</v>
      </c>
      <c r="G439" s="22">
        <v>9775</v>
      </c>
      <c r="H439" s="28">
        <f t="shared" si="10"/>
        <v>100</v>
      </c>
    </row>
    <row r="440" spans="1:8" ht="46.8" outlineLevel="3">
      <c r="A440" s="11" t="s">
        <v>486</v>
      </c>
      <c r="B440" s="12" t="s">
        <v>487</v>
      </c>
      <c r="C440" s="12"/>
      <c r="D440" s="12"/>
      <c r="E440" s="12"/>
      <c r="F440" s="22">
        <f>F441</f>
        <v>9074.6</v>
      </c>
      <c r="G440" s="22">
        <f>G441</f>
        <v>8966.3372500000005</v>
      </c>
      <c r="H440" s="28">
        <f t="shared" si="10"/>
        <v>98.806969453199045</v>
      </c>
    </row>
    <row r="441" spans="1:8" ht="62.4" outlineLevel="4">
      <c r="A441" s="11" t="s">
        <v>119</v>
      </c>
      <c r="B441" s="12" t="s">
        <v>487</v>
      </c>
      <c r="C441" s="12" t="s">
        <v>120</v>
      </c>
      <c r="D441" s="12" t="s">
        <v>250</v>
      </c>
      <c r="E441" s="12" t="s">
        <v>250</v>
      </c>
      <c r="F441" s="22">
        <v>9074.6</v>
      </c>
      <c r="G441" s="28">
        <v>8966.3372500000005</v>
      </c>
      <c r="H441" s="28">
        <f t="shared" si="10"/>
        <v>98.806969453199045</v>
      </c>
    </row>
    <row r="442" spans="1:8" ht="31.2" outlineLevel="3">
      <c r="A442" s="11" t="s">
        <v>488</v>
      </c>
      <c r="B442" s="12" t="s">
        <v>489</v>
      </c>
      <c r="C442" s="12"/>
      <c r="D442" s="12"/>
      <c r="E442" s="12"/>
      <c r="F442" s="22">
        <f>F443</f>
        <v>146.4</v>
      </c>
      <c r="G442" s="22">
        <f>G443</f>
        <v>146.4</v>
      </c>
      <c r="H442" s="28">
        <f t="shared" si="10"/>
        <v>100</v>
      </c>
    </row>
    <row r="443" spans="1:8" ht="62.4" outlineLevel="4">
      <c r="A443" s="11" t="s">
        <v>119</v>
      </c>
      <c r="B443" s="12" t="s">
        <v>489</v>
      </c>
      <c r="C443" s="12" t="s">
        <v>120</v>
      </c>
      <c r="D443" s="12" t="s">
        <v>250</v>
      </c>
      <c r="E443" s="12" t="s">
        <v>250</v>
      </c>
      <c r="F443" s="22">
        <f>200-53.6</f>
        <v>146.4</v>
      </c>
      <c r="G443" s="22">
        <f>200-53.6</f>
        <v>146.4</v>
      </c>
      <c r="H443" s="28">
        <f t="shared" si="10"/>
        <v>100</v>
      </c>
    </row>
    <row r="444" spans="1:8" ht="46.8" outlineLevel="3">
      <c r="A444" s="11" t="s">
        <v>490</v>
      </c>
      <c r="B444" s="12" t="s">
        <v>491</v>
      </c>
      <c r="C444" s="12"/>
      <c r="D444" s="12"/>
      <c r="E444" s="12"/>
      <c r="F444" s="22">
        <f>F445</f>
        <v>310</v>
      </c>
      <c r="G444" s="22">
        <f>G445</f>
        <v>310</v>
      </c>
      <c r="H444" s="28">
        <f t="shared" si="10"/>
        <v>100</v>
      </c>
    </row>
    <row r="445" spans="1:8" ht="62.4" outlineLevel="4">
      <c r="A445" s="11" t="s">
        <v>119</v>
      </c>
      <c r="B445" s="12" t="s">
        <v>491</v>
      </c>
      <c r="C445" s="12" t="s">
        <v>120</v>
      </c>
      <c r="D445" s="12" t="s">
        <v>250</v>
      </c>
      <c r="E445" s="12" t="s">
        <v>250</v>
      </c>
      <c r="F445" s="22">
        <v>310</v>
      </c>
      <c r="G445" s="22">
        <v>310</v>
      </c>
      <c r="H445" s="28">
        <f t="shared" si="10"/>
        <v>100</v>
      </c>
    </row>
    <row r="446" spans="1:8" ht="46.8" outlineLevel="1">
      <c r="A446" s="13" t="s">
        <v>492</v>
      </c>
      <c r="B446" s="14" t="s">
        <v>493</v>
      </c>
      <c r="C446" s="14"/>
      <c r="D446" s="14"/>
      <c r="E446" s="14"/>
      <c r="F446" s="24">
        <f>F447+F457</f>
        <v>51755.399999999994</v>
      </c>
      <c r="G446" s="24">
        <f>G447+G457</f>
        <v>51755.399999999994</v>
      </c>
      <c r="H446" s="30">
        <f t="shared" si="10"/>
        <v>100</v>
      </c>
    </row>
    <row r="447" spans="1:8" ht="31.2" outlineLevel="2">
      <c r="A447" s="11" t="s">
        <v>494</v>
      </c>
      <c r="B447" s="12" t="s">
        <v>495</v>
      </c>
      <c r="C447" s="12"/>
      <c r="D447" s="12"/>
      <c r="E447" s="12"/>
      <c r="F447" s="22">
        <f>F448+F451+F454</f>
        <v>49184.399999999994</v>
      </c>
      <c r="G447" s="22">
        <f>G448+G451+G454</f>
        <v>49184.399999999994</v>
      </c>
      <c r="H447" s="28">
        <f t="shared" si="10"/>
        <v>100</v>
      </c>
    </row>
    <row r="448" spans="1:8" ht="62.4" outlineLevel="3">
      <c r="A448" s="11" t="s">
        <v>496</v>
      </c>
      <c r="B448" s="12" t="s">
        <v>497</v>
      </c>
      <c r="C448" s="12"/>
      <c r="D448" s="12"/>
      <c r="E448" s="12"/>
      <c r="F448" s="22">
        <f>F449+F450</f>
        <v>14721.46775</v>
      </c>
      <c r="G448" s="22">
        <f>G449+G450</f>
        <v>14721.46775</v>
      </c>
      <c r="H448" s="28">
        <f t="shared" si="10"/>
        <v>100</v>
      </c>
    </row>
    <row r="449" spans="1:8" ht="31.2" outlineLevel="4">
      <c r="A449" s="11" t="s">
        <v>105</v>
      </c>
      <c r="B449" s="12" t="s">
        <v>497</v>
      </c>
      <c r="C449" s="12" t="s">
        <v>106</v>
      </c>
      <c r="D449" s="12" t="s">
        <v>163</v>
      </c>
      <c r="E449" s="12" t="s">
        <v>89</v>
      </c>
      <c r="F449" s="22">
        <f>90.9+2+8.17851</f>
        <v>101.07851000000001</v>
      </c>
      <c r="G449" s="22">
        <f>90.9+2+8.17851</f>
        <v>101.07851000000001</v>
      </c>
      <c r="H449" s="28">
        <f t="shared" si="10"/>
        <v>100</v>
      </c>
    </row>
    <row r="450" spans="1:8" ht="31.2" outlineLevel="4">
      <c r="A450" s="11" t="s">
        <v>161</v>
      </c>
      <c r="B450" s="12" t="s">
        <v>497</v>
      </c>
      <c r="C450" s="12" t="s">
        <v>162</v>
      </c>
      <c r="D450" s="12" t="s">
        <v>163</v>
      </c>
      <c r="E450" s="12" t="s">
        <v>89</v>
      </c>
      <c r="F450" s="22">
        <f>13079.1-754.5+745+241.9+1308.88924</f>
        <v>14620.38924</v>
      </c>
      <c r="G450" s="22">
        <f>13079.1-754.5+745+241.9+1308.88924</f>
        <v>14620.38924</v>
      </c>
      <c r="H450" s="28">
        <f t="shared" si="10"/>
        <v>100</v>
      </c>
    </row>
    <row r="451" spans="1:8" ht="62.4" outlineLevel="3">
      <c r="A451" s="11" t="s">
        <v>498</v>
      </c>
      <c r="B451" s="12" t="s">
        <v>499</v>
      </c>
      <c r="C451" s="12"/>
      <c r="D451" s="12"/>
      <c r="E451" s="12"/>
      <c r="F451" s="22">
        <f>F452+F453</f>
        <v>21220.543969999999</v>
      </c>
      <c r="G451" s="22">
        <f>G452+G453</f>
        <v>21220.543969999999</v>
      </c>
      <c r="H451" s="28">
        <f t="shared" si="10"/>
        <v>100</v>
      </c>
    </row>
    <row r="452" spans="1:8" ht="31.2" outlineLevel="4">
      <c r="A452" s="11" t="s">
        <v>105</v>
      </c>
      <c r="B452" s="12" t="s">
        <v>499</v>
      </c>
      <c r="C452" s="12" t="s">
        <v>106</v>
      </c>
      <c r="D452" s="12" t="s">
        <v>163</v>
      </c>
      <c r="E452" s="12" t="s">
        <v>89</v>
      </c>
      <c r="F452" s="22">
        <f>197-2.4+2.31576</f>
        <v>196.91576000000001</v>
      </c>
      <c r="G452" s="22">
        <f>197-2.4+2.31576</f>
        <v>196.91576000000001</v>
      </c>
      <c r="H452" s="28">
        <f t="shared" si="10"/>
        <v>100</v>
      </c>
    </row>
    <row r="453" spans="1:8" ht="31.2" outlineLevel="4">
      <c r="A453" s="11" t="s">
        <v>161</v>
      </c>
      <c r="B453" s="12" t="s">
        <v>499</v>
      </c>
      <c r="C453" s="12" t="s">
        <v>162</v>
      </c>
      <c r="D453" s="12" t="s">
        <v>163</v>
      </c>
      <c r="E453" s="12" t="s">
        <v>89</v>
      </c>
      <c r="F453" s="22">
        <f>20428+325.5-15.76601-38.2+74.16908-0.052+249.97714</f>
        <v>21023.628209999999</v>
      </c>
      <c r="G453" s="22">
        <f>20428+325.5-15.76601-38.2+74.16908-0.052+249.97714</f>
        <v>21023.628209999999</v>
      </c>
      <c r="H453" s="28">
        <f t="shared" si="10"/>
        <v>100</v>
      </c>
    </row>
    <row r="454" spans="1:8" ht="62.4" outlineLevel="3">
      <c r="A454" s="11" t="s">
        <v>500</v>
      </c>
      <c r="B454" s="12" t="s">
        <v>501</v>
      </c>
      <c r="C454" s="12"/>
      <c r="D454" s="12"/>
      <c r="E454" s="12"/>
      <c r="F454" s="22">
        <f>F455+F456</f>
        <v>13242.388279999996</v>
      </c>
      <c r="G454" s="22">
        <f>G455+G456</f>
        <v>13242.388279999996</v>
      </c>
      <c r="H454" s="28">
        <f t="shared" si="10"/>
        <v>100</v>
      </c>
    </row>
    <row r="455" spans="1:8" ht="31.2" outlineLevel="4">
      <c r="A455" s="11" t="s">
        <v>105</v>
      </c>
      <c r="B455" s="12" t="s">
        <v>501</v>
      </c>
      <c r="C455" s="12" t="s">
        <v>106</v>
      </c>
      <c r="D455" s="12" t="s">
        <v>163</v>
      </c>
      <c r="E455" s="12" t="s">
        <v>89</v>
      </c>
      <c r="F455" s="22">
        <f>100.5+20.38-7.38+0.4+8.05659</f>
        <v>121.95659000000001</v>
      </c>
      <c r="G455" s="22">
        <f>100.5+20.38-7.38+0.4+8.05659</f>
        <v>121.95659000000001</v>
      </c>
      <c r="H455" s="28">
        <f t="shared" si="10"/>
        <v>100</v>
      </c>
    </row>
    <row r="456" spans="1:8" ht="31.2" outlineLevel="4">
      <c r="A456" s="11" t="s">
        <v>161</v>
      </c>
      <c r="B456" s="12" t="s">
        <v>501</v>
      </c>
      <c r="C456" s="12" t="s">
        <v>162</v>
      </c>
      <c r="D456" s="12" t="s">
        <v>163</v>
      </c>
      <c r="E456" s="12" t="s">
        <v>89</v>
      </c>
      <c r="F456" s="22">
        <f>10749.5+429+2037.62-737.62+15.76601-203.7+829.94668-0.081</f>
        <v>13120.431689999996</v>
      </c>
      <c r="G456" s="22">
        <f>10749.5+429+2037.62-737.62+15.76601-203.7+829.94668-0.081</f>
        <v>13120.431689999996</v>
      </c>
      <c r="H456" s="28">
        <f t="shared" si="10"/>
        <v>100</v>
      </c>
    </row>
    <row r="457" spans="1:8" ht="31.2" outlineLevel="2">
      <c r="A457" s="11" t="s">
        <v>502</v>
      </c>
      <c r="B457" s="12" t="s">
        <v>503</v>
      </c>
      <c r="C457" s="12"/>
      <c r="D457" s="12"/>
      <c r="E457" s="12"/>
      <c r="F457" s="22">
        <f>F458</f>
        <v>2571</v>
      </c>
      <c r="G457" s="22">
        <f>G458</f>
        <v>2571</v>
      </c>
      <c r="H457" s="28">
        <f t="shared" si="10"/>
        <v>100</v>
      </c>
    </row>
    <row r="458" spans="1:8" ht="46.8" outlineLevel="3">
      <c r="A458" s="11" t="s">
        <v>504</v>
      </c>
      <c r="B458" s="12" t="s">
        <v>505</v>
      </c>
      <c r="C458" s="12"/>
      <c r="D458" s="12"/>
      <c r="E458" s="12"/>
      <c r="F458" s="22">
        <f>F459+F460</f>
        <v>2571</v>
      </c>
      <c r="G458" s="22">
        <f>G459+G460</f>
        <v>2571</v>
      </c>
      <c r="H458" s="28">
        <f t="shared" si="10"/>
        <v>100</v>
      </c>
    </row>
    <row r="459" spans="1:8" ht="93.6" outlineLevel="4">
      <c r="A459" s="11" t="s">
        <v>189</v>
      </c>
      <c r="B459" s="12" t="s">
        <v>505</v>
      </c>
      <c r="C459" s="12" t="s">
        <v>190</v>
      </c>
      <c r="D459" s="12" t="s">
        <v>163</v>
      </c>
      <c r="E459" s="12" t="s">
        <v>89</v>
      </c>
      <c r="F459" s="22">
        <v>2427.1</v>
      </c>
      <c r="G459" s="22">
        <v>2427.1</v>
      </c>
      <c r="H459" s="28">
        <f t="shared" ref="H459:H522" si="11">G459/F459*100</f>
        <v>100</v>
      </c>
    </row>
    <row r="460" spans="1:8" ht="31.2" outlineLevel="4">
      <c r="A460" s="11" t="s">
        <v>105</v>
      </c>
      <c r="B460" s="12" t="s">
        <v>505</v>
      </c>
      <c r="C460" s="12" t="s">
        <v>106</v>
      </c>
      <c r="D460" s="12" t="s">
        <v>163</v>
      </c>
      <c r="E460" s="12" t="s">
        <v>89</v>
      </c>
      <c r="F460" s="22">
        <v>143.9</v>
      </c>
      <c r="G460" s="22">
        <v>143.9</v>
      </c>
      <c r="H460" s="28">
        <f t="shared" si="11"/>
        <v>100</v>
      </c>
    </row>
    <row r="461" spans="1:8" ht="46.8" outlineLevel="1">
      <c r="A461" s="13" t="s">
        <v>506</v>
      </c>
      <c r="B461" s="14" t="s">
        <v>507</v>
      </c>
      <c r="C461" s="14"/>
      <c r="D461" s="14"/>
      <c r="E461" s="14"/>
      <c r="F461" s="24">
        <f>F462</f>
        <v>41062.62887</v>
      </c>
      <c r="G461" s="24">
        <f>G462</f>
        <v>40997.964739999996</v>
      </c>
      <c r="H461" s="30">
        <f t="shared" si="11"/>
        <v>99.842523160889868</v>
      </c>
    </row>
    <row r="462" spans="1:8" ht="31.2" outlineLevel="2">
      <c r="A462" s="11" t="s">
        <v>185</v>
      </c>
      <c r="B462" s="12" t="s">
        <v>508</v>
      </c>
      <c r="C462" s="12"/>
      <c r="D462" s="12"/>
      <c r="E462" s="12"/>
      <c r="F462" s="22">
        <f>F463+F465+F468+F471+F473+F477</f>
        <v>41062.62887</v>
      </c>
      <c r="G462" s="22">
        <f>G463+G465+G468+G471+G473+G477</f>
        <v>40997.964739999996</v>
      </c>
      <c r="H462" s="28">
        <f t="shared" si="11"/>
        <v>99.842523160889868</v>
      </c>
    </row>
    <row r="463" spans="1:8" ht="31.2" outlineLevel="3">
      <c r="A463" s="11" t="s">
        <v>187</v>
      </c>
      <c r="B463" s="12" t="s">
        <v>509</v>
      </c>
      <c r="C463" s="12"/>
      <c r="D463" s="12"/>
      <c r="E463" s="12"/>
      <c r="F463" s="22">
        <f>F464</f>
        <v>6900</v>
      </c>
      <c r="G463" s="22">
        <f>G464</f>
        <v>6885.9375099999997</v>
      </c>
      <c r="H463" s="28">
        <f t="shared" si="11"/>
        <v>99.796195797101447</v>
      </c>
    </row>
    <row r="464" spans="1:8" ht="93.6" outlineLevel="4">
      <c r="A464" s="11" t="s">
        <v>189</v>
      </c>
      <c r="B464" s="12" t="s">
        <v>509</v>
      </c>
      <c r="C464" s="12" t="s">
        <v>190</v>
      </c>
      <c r="D464" s="12" t="s">
        <v>250</v>
      </c>
      <c r="E464" s="12" t="s">
        <v>127</v>
      </c>
      <c r="F464" s="22">
        <v>6900</v>
      </c>
      <c r="G464" s="28">
        <v>6885.9375099999997</v>
      </c>
      <c r="H464" s="28">
        <f t="shared" si="11"/>
        <v>99.796195797101447</v>
      </c>
    </row>
    <row r="465" spans="1:8" ht="31.2" outlineLevel="3">
      <c r="A465" s="11" t="s">
        <v>191</v>
      </c>
      <c r="B465" s="12" t="s">
        <v>510</v>
      </c>
      <c r="C465" s="12"/>
      <c r="D465" s="12"/>
      <c r="E465" s="12"/>
      <c r="F465" s="22">
        <f>F466+F467</f>
        <v>1149.5</v>
      </c>
      <c r="G465" s="22">
        <f>G466+G467</f>
        <v>1098.8983599999999</v>
      </c>
      <c r="H465" s="28">
        <f t="shared" si="11"/>
        <v>95.597943453675498</v>
      </c>
    </row>
    <row r="466" spans="1:8" ht="31.2" outlineLevel="4">
      <c r="A466" s="11" t="s">
        <v>105</v>
      </c>
      <c r="B466" s="12" t="s">
        <v>510</v>
      </c>
      <c r="C466" s="12" t="s">
        <v>106</v>
      </c>
      <c r="D466" s="12" t="s">
        <v>250</v>
      </c>
      <c r="E466" s="12" t="s">
        <v>127</v>
      </c>
      <c r="F466" s="22">
        <f>635.5+101.4+4.20384+331</f>
        <v>1072.10384</v>
      </c>
      <c r="G466" s="28">
        <v>1021.5022</v>
      </c>
      <c r="H466" s="28">
        <f t="shared" si="11"/>
        <v>95.280154952154632</v>
      </c>
    </row>
    <row r="467" spans="1:8" outlineLevel="4">
      <c r="A467" s="11" t="s">
        <v>168</v>
      </c>
      <c r="B467" s="12" t="s">
        <v>510</v>
      </c>
      <c r="C467" s="12" t="s">
        <v>169</v>
      </c>
      <c r="D467" s="12" t="s">
        <v>250</v>
      </c>
      <c r="E467" s="12" t="s">
        <v>127</v>
      </c>
      <c r="F467" s="22">
        <f>81.6-4.20384</f>
        <v>77.396159999999995</v>
      </c>
      <c r="G467" s="28">
        <v>77.396159999999995</v>
      </c>
      <c r="H467" s="28">
        <f t="shared" si="11"/>
        <v>100</v>
      </c>
    </row>
    <row r="468" spans="1:8" ht="46.8" outlineLevel="3">
      <c r="A468" s="11" t="s">
        <v>449</v>
      </c>
      <c r="B468" s="12" t="s">
        <v>511</v>
      </c>
      <c r="C468" s="12"/>
      <c r="D468" s="12"/>
      <c r="E468" s="12"/>
      <c r="F468" s="22">
        <f>F469+F470</f>
        <v>3034.3088699999998</v>
      </c>
      <c r="G468" s="22">
        <f>G469+G470</f>
        <v>3034.3088699999998</v>
      </c>
      <c r="H468" s="28">
        <f t="shared" si="11"/>
        <v>100</v>
      </c>
    </row>
    <row r="469" spans="1:8" ht="31.2" outlineLevel="4">
      <c r="A469" s="11" t="s">
        <v>105</v>
      </c>
      <c r="B469" s="12" t="s">
        <v>511</v>
      </c>
      <c r="C469" s="12" t="s">
        <v>106</v>
      </c>
      <c r="D469" s="12" t="s">
        <v>163</v>
      </c>
      <c r="E469" s="12" t="s">
        <v>154</v>
      </c>
      <c r="F469" s="22">
        <f>41.1+3.85+1.56419</f>
        <v>46.514189999999999</v>
      </c>
      <c r="G469" s="22">
        <f>41.1+3.85+1.56419</f>
        <v>46.514189999999999</v>
      </c>
      <c r="H469" s="28">
        <f t="shared" si="11"/>
        <v>100</v>
      </c>
    </row>
    <row r="470" spans="1:8" ht="31.2" outlineLevel="4">
      <c r="A470" s="11" t="s">
        <v>161</v>
      </c>
      <c r="B470" s="12" t="s">
        <v>511</v>
      </c>
      <c r="C470" s="12" t="s">
        <v>162</v>
      </c>
      <c r="D470" s="12" t="s">
        <v>163</v>
      </c>
      <c r="E470" s="12" t="s">
        <v>154</v>
      </c>
      <c r="F470" s="22">
        <f>2490.5+276.05+221.24468</f>
        <v>2987.79468</v>
      </c>
      <c r="G470" s="22">
        <f>2490.5+276.05+221.24468</f>
        <v>2987.79468</v>
      </c>
      <c r="H470" s="28">
        <f t="shared" si="11"/>
        <v>100</v>
      </c>
    </row>
    <row r="471" spans="1:8" ht="46.8" outlineLevel="3">
      <c r="A471" s="11" t="s">
        <v>512</v>
      </c>
      <c r="B471" s="12" t="s">
        <v>513</v>
      </c>
      <c r="C471" s="12"/>
      <c r="D471" s="12"/>
      <c r="E471" s="12"/>
      <c r="F471" s="22">
        <f>F472</f>
        <v>7691.8200000000006</v>
      </c>
      <c r="G471" s="22">
        <f>G472</f>
        <v>7691.8200000000006</v>
      </c>
      <c r="H471" s="28">
        <f t="shared" si="11"/>
        <v>100</v>
      </c>
    </row>
    <row r="472" spans="1:8" ht="62.4" outlineLevel="4">
      <c r="A472" s="11" t="s">
        <v>119</v>
      </c>
      <c r="B472" s="12" t="s">
        <v>513</v>
      </c>
      <c r="C472" s="12" t="s">
        <v>120</v>
      </c>
      <c r="D472" s="12" t="s">
        <v>250</v>
      </c>
      <c r="E472" s="12" t="s">
        <v>127</v>
      </c>
      <c r="F472" s="22">
        <f>7119.3+432+140.52</f>
        <v>7691.8200000000006</v>
      </c>
      <c r="G472" s="22">
        <f>7119.3+432+140.52</f>
        <v>7691.8200000000006</v>
      </c>
      <c r="H472" s="28">
        <f t="shared" si="11"/>
        <v>100</v>
      </c>
    </row>
    <row r="473" spans="1:8" ht="31.2" outlineLevel="3">
      <c r="A473" s="11" t="s">
        <v>276</v>
      </c>
      <c r="B473" s="12" t="s">
        <v>514</v>
      </c>
      <c r="C473" s="12"/>
      <c r="D473" s="12"/>
      <c r="E473" s="12"/>
      <c r="F473" s="22">
        <f>F474+F475+F476</f>
        <v>18320.5</v>
      </c>
      <c r="G473" s="22">
        <f>G474+G475+G476</f>
        <v>18320.5</v>
      </c>
      <c r="H473" s="28">
        <f t="shared" si="11"/>
        <v>100</v>
      </c>
    </row>
    <row r="474" spans="1:8" ht="93.6" outlineLevel="4">
      <c r="A474" s="11" t="s">
        <v>189</v>
      </c>
      <c r="B474" s="12" t="s">
        <v>514</v>
      </c>
      <c r="C474" s="12" t="s">
        <v>190</v>
      </c>
      <c r="D474" s="12" t="s">
        <v>250</v>
      </c>
      <c r="E474" s="12" t="s">
        <v>127</v>
      </c>
      <c r="F474" s="22">
        <f>15826+185</f>
        <v>16011</v>
      </c>
      <c r="G474" s="22">
        <f>15826+185</f>
        <v>16011</v>
      </c>
      <c r="H474" s="28">
        <f t="shared" si="11"/>
        <v>100</v>
      </c>
    </row>
    <row r="475" spans="1:8" ht="31.2" outlineLevel="4">
      <c r="A475" s="11" t="s">
        <v>105</v>
      </c>
      <c r="B475" s="12" t="s">
        <v>514</v>
      </c>
      <c r="C475" s="12" t="s">
        <v>106</v>
      </c>
      <c r="D475" s="12" t="s">
        <v>250</v>
      </c>
      <c r="E475" s="12" t="s">
        <v>127</v>
      </c>
      <c r="F475" s="22">
        <f>2526.9-101.4-127.4</f>
        <v>2298.1</v>
      </c>
      <c r="G475" s="22">
        <f>2526.9-101.4-127.4</f>
        <v>2298.1</v>
      </c>
      <c r="H475" s="28">
        <f t="shared" si="11"/>
        <v>100</v>
      </c>
    </row>
    <row r="476" spans="1:8" outlineLevel="4">
      <c r="A476" s="11" t="s">
        <v>168</v>
      </c>
      <c r="B476" s="12" t="s">
        <v>514</v>
      </c>
      <c r="C476" s="12" t="s">
        <v>169</v>
      </c>
      <c r="D476" s="12" t="s">
        <v>250</v>
      </c>
      <c r="E476" s="12" t="s">
        <v>127</v>
      </c>
      <c r="F476" s="22">
        <f>69-57.6</f>
        <v>11.399999999999999</v>
      </c>
      <c r="G476" s="22">
        <f>69-57.6</f>
        <v>11.399999999999999</v>
      </c>
      <c r="H476" s="28">
        <f t="shared" si="11"/>
        <v>100</v>
      </c>
    </row>
    <row r="477" spans="1:8" ht="46.8" outlineLevel="3">
      <c r="A477" s="11" t="s">
        <v>515</v>
      </c>
      <c r="B477" s="12" t="s">
        <v>516</v>
      </c>
      <c r="C477" s="12"/>
      <c r="D477" s="12"/>
      <c r="E477" s="12"/>
      <c r="F477" s="22">
        <f>F478+F479+F480</f>
        <v>3966.5000000000005</v>
      </c>
      <c r="G477" s="22">
        <f>G478+G479+G480</f>
        <v>3966.5</v>
      </c>
      <c r="H477" s="28">
        <f t="shared" si="11"/>
        <v>99.999999999999986</v>
      </c>
    </row>
    <row r="478" spans="1:8" ht="93.6" outlineLevel="4">
      <c r="A478" s="11" t="s">
        <v>189</v>
      </c>
      <c r="B478" s="12" t="s">
        <v>516</v>
      </c>
      <c r="C478" s="12" t="s">
        <v>190</v>
      </c>
      <c r="D478" s="12" t="s">
        <v>250</v>
      </c>
      <c r="E478" s="12" t="s">
        <v>127</v>
      </c>
      <c r="F478" s="22">
        <f>3487-370.4-369.5-21.4727</f>
        <v>2725.6273000000001</v>
      </c>
      <c r="G478" s="22">
        <f>3487-370.4-369.5-21.4727</f>
        <v>2725.6273000000001</v>
      </c>
      <c r="H478" s="28">
        <f t="shared" si="11"/>
        <v>100</v>
      </c>
    </row>
    <row r="479" spans="1:8" ht="31.2" outlineLevel="4">
      <c r="A479" s="11" t="s">
        <v>105</v>
      </c>
      <c r="B479" s="12" t="s">
        <v>516</v>
      </c>
      <c r="C479" s="12" t="s">
        <v>106</v>
      </c>
      <c r="D479" s="12" t="s">
        <v>250</v>
      </c>
      <c r="E479" s="12" t="s">
        <v>127</v>
      </c>
      <c r="F479" s="22">
        <f>841+370.4+7.89+21.4727</f>
        <v>1240.7627000000002</v>
      </c>
      <c r="G479" s="22">
        <v>1240.7607</v>
      </c>
      <c r="H479" s="28">
        <f t="shared" si="11"/>
        <v>99.999838808822986</v>
      </c>
    </row>
    <row r="480" spans="1:8" outlineLevel="4">
      <c r="A480" s="11" t="s">
        <v>168</v>
      </c>
      <c r="B480" s="12" t="s">
        <v>516</v>
      </c>
      <c r="C480" s="12" t="s">
        <v>169</v>
      </c>
      <c r="D480" s="12" t="s">
        <v>250</v>
      </c>
      <c r="E480" s="12" t="s">
        <v>127</v>
      </c>
      <c r="F480" s="22">
        <f>8-7.89</f>
        <v>0.11000000000000032</v>
      </c>
      <c r="G480" s="28">
        <v>0.112</v>
      </c>
      <c r="H480" s="28">
        <f t="shared" si="11"/>
        <v>101.81818181818151</v>
      </c>
    </row>
    <row r="481" spans="1:8" ht="46.8">
      <c r="A481" s="9" t="s">
        <v>517</v>
      </c>
      <c r="B481" s="10" t="s">
        <v>518</v>
      </c>
      <c r="C481" s="10"/>
      <c r="D481" s="10"/>
      <c r="E481" s="10"/>
      <c r="F481" s="23">
        <f>F482+F487</f>
        <v>841</v>
      </c>
      <c r="G481" s="23">
        <f>G482+G487</f>
        <v>836.42855999999995</v>
      </c>
      <c r="H481" s="29">
        <f t="shared" si="11"/>
        <v>99.456428061831147</v>
      </c>
    </row>
    <row r="482" spans="1:8" s="4" customFormat="1" ht="46.8" hidden="1" outlineLevel="2">
      <c r="A482" s="17" t="s">
        <v>519</v>
      </c>
      <c r="B482" s="15" t="s">
        <v>520</v>
      </c>
      <c r="C482" s="15"/>
      <c r="D482" s="15"/>
      <c r="E482" s="15"/>
      <c r="F482" s="25">
        <f>F483+F485</f>
        <v>0</v>
      </c>
      <c r="G482" s="25">
        <f>G483+G485</f>
        <v>0</v>
      </c>
      <c r="H482" s="28" t="e">
        <f t="shared" si="11"/>
        <v>#DIV/0!</v>
      </c>
    </row>
    <row r="483" spans="1:8" ht="31.2" hidden="1" outlineLevel="3">
      <c r="A483" s="11" t="s">
        <v>521</v>
      </c>
      <c r="B483" s="12" t="s">
        <v>522</v>
      </c>
      <c r="C483" s="12"/>
      <c r="D483" s="12"/>
      <c r="E483" s="12"/>
      <c r="F483" s="22">
        <f>F484</f>
        <v>0</v>
      </c>
      <c r="G483" s="22">
        <f>G484</f>
        <v>0</v>
      </c>
      <c r="H483" s="28" t="e">
        <f t="shared" si="11"/>
        <v>#DIV/0!</v>
      </c>
    </row>
    <row r="484" spans="1:8" ht="31.2" hidden="1" outlineLevel="4">
      <c r="A484" s="11" t="s">
        <v>87</v>
      </c>
      <c r="B484" s="12" t="s">
        <v>522</v>
      </c>
      <c r="C484" s="12" t="s">
        <v>88</v>
      </c>
      <c r="D484" s="12" t="s">
        <v>91</v>
      </c>
      <c r="E484" s="12" t="s">
        <v>92</v>
      </c>
      <c r="F484" s="22">
        <f>332-332</f>
        <v>0</v>
      </c>
      <c r="G484" s="22">
        <f>332-332</f>
        <v>0</v>
      </c>
      <c r="H484" s="28" t="e">
        <f t="shared" si="11"/>
        <v>#DIV/0!</v>
      </c>
    </row>
    <row r="485" spans="1:8" ht="31.2" hidden="1" outlineLevel="3">
      <c r="A485" s="11" t="s">
        <v>523</v>
      </c>
      <c r="B485" s="12" t="s">
        <v>524</v>
      </c>
      <c r="C485" s="12"/>
      <c r="D485" s="12"/>
      <c r="E485" s="12"/>
      <c r="F485" s="22">
        <f>F486</f>
        <v>0</v>
      </c>
      <c r="G485" s="22">
        <f>G486</f>
        <v>0</v>
      </c>
      <c r="H485" s="28" t="e">
        <f t="shared" si="11"/>
        <v>#DIV/0!</v>
      </c>
    </row>
    <row r="486" spans="1:8" ht="31.2" hidden="1" outlineLevel="4">
      <c r="A486" s="11" t="s">
        <v>87</v>
      </c>
      <c r="B486" s="12" t="s">
        <v>524</v>
      </c>
      <c r="C486" s="12" t="s">
        <v>88</v>
      </c>
      <c r="D486" s="12" t="s">
        <v>91</v>
      </c>
      <c r="E486" s="12" t="s">
        <v>92</v>
      </c>
      <c r="F486" s="22">
        <f>1139-1139</f>
        <v>0</v>
      </c>
      <c r="G486" s="22">
        <f>1139-1139</f>
        <v>0</v>
      </c>
      <c r="H486" s="28" t="e">
        <f t="shared" si="11"/>
        <v>#DIV/0!</v>
      </c>
    </row>
    <row r="487" spans="1:8" ht="46.8" outlineLevel="4">
      <c r="A487" s="19" t="s">
        <v>570</v>
      </c>
      <c r="B487" s="20" t="s">
        <v>572</v>
      </c>
      <c r="C487" s="12"/>
      <c r="D487" s="12"/>
      <c r="E487" s="12"/>
      <c r="F487" s="22">
        <f>F488</f>
        <v>841</v>
      </c>
      <c r="G487" s="22">
        <f>G488</f>
        <v>836.42855999999995</v>
      </c>
      <c r="H487" s="28">
        <f t="shared" si="11"/>
        <v>99.456428061831147</v>
      </c>
    </row>
    <row r="488" spans="1:8" ht="31.2" outlineLevel="4">
      <c r="A488" s="19" t="s">
        <v>571</v>
      </c>
      <c r="B488" s="20" t="s">
        <v>572</v>
      </c>
      <c r="C488" s="12"/>
      <c r="D488" s="12"/>
      <c r="E488" s="12"/>
      <c r="F488" s="22">
        <f>F489</f>
        <v>841</v>
      </c>
      <c r="G488" s="22">
        <f>G489</f>
        <v>836.42855999999995</v>
      </c>
      <c r="H488" s="28">
        <f t="shared" si="11"/>
        <v>99.456428061831147</v>
      </c>
    </row>
    <row r="489" spans="1:8" ht="31.2" outlineLevel="4">
      <c r="A489" s="19" t="s">
        <v>556</v>
      </c>
      <c r="B489" s="20" t="s">
        <v>573</v>
      </c>
      <c r="C489" s="12" t="s">
        <v>88</v>
      </c>
      <c r="D489" s="12" t="s">
        <v>91</v>
      </c>
      <c r="E489" s="12" t="s">
        <v>92</v>
      </c>
      <c r="F489" s="22">
        <v>841</v>
      </c>
      <c r="G489" s="22">
        <v>836.42855999999995</v>
      </c>
      <c r="H489" s="28">
        <f t="shared" si="11"/>
        <v>99.456428061831147</v>
      </c>
    </row>
    <row r="490" spans="1:8" ht="31.2">
      <c r="A490" s="9" t="s">
        <v>525</v>
      </c>
      <c r="B490" s="10" t="s">
        <v>526</v>
      </c>
      <c r="C490" s="10"/>
      <c r="D490" s="10"/>
      <c r="E490" s="10"/>
      <c r="F490" s="23">
        <f>F491+F505+F517</f>
        <v>212707.788</v>
      </c>
      <c r="G490" s="23">
        <f>G491+G505+G517</f>
        <v>100940.93260999999</v>
      </c>
      <c r="H490" s="29">
        <f t="shared" si="11"/>
        <v>47.455212410934379</v>
      </c>
    </row>
    <row r="491" spans="1:8" ht="31.2" outlineLevel="2">
      <c r="A491" s="11" t="s">
        <v>185</v>
      </c>
      <c r="B491" s="12" t="s">
        <v>527</v>
      </c>
      <c r="C491" s="12"/>
      <c r="D491" s="12"/>
      <c r="E491" s="12"/>
      <c r="F491" s="22">
        <f>F492+F494+F496+F498+F502</f>
        <v>17053.345000000001</v>
      </c>
      <c r="G491" s="22">
        <f>G492+G494+G496+G498+G502</f>
        <v>15858.760059999999</v>
      </c>
      <c r="H491" s="28">
        <f t="shared" si="11"/>
        <v>92.995011008104257</v>
      </c>
    </row>
    <row r="492" spans="1:8" ht="31.2" outlineLevel="3">
      <c r="A492" s="11" t="s">
        <v>187</v>
      </c>
      <c r="B492" s="12" t="s">
        <v>528</v>
      </c>
      <c r="C492" s="12"/>
      <c r="D492" s="12"/>
      <c r="E492" s="12"/>
      <c r="F492" s="22">
        <f>F493</f>
        <v>5726.8249999999998</v>
      </c>
      <c r="G492" s="22">
        <f>G493</f>
        <v>4913.8981299999996</v>
      </c>
      <c r="H492" s="28">
        <f t="shared" si="11"/>
        <v>85.804929083741854</v>
      </c>
    </row>
    <row r="493" spans="1:8" ht="93.6" outlineLevel="4">
      <c r="A493" s="11" t="s">
        <v>189</v>
      </c>
      <c r="B493" s="12" t="s">
        <v>528</v>
      </c>
      <c r="C493" s="12" t="s">
        <v>190</v>
      </c>
      <c r="D493" s="12" t="s">
        <v>91</v>
      </c>
      <c r="E493" s="12" t="s">
        <v>91</v>
      </c>
      <c r="F493" s="22">
        <f>6563.2-55-87-7-496.275-5.5-5-180.6</f>
        <v>5726.8249999999998</v>
      </c>
      <c r="G493" s="28">
        <v>4913.8981299999996</v>
      </c>
      <c r="H493" s="28">
        <f t="shared" si="11"/>
        <v>85.804929083741854</v>
      </c>
    </row>
    <row r="494" spans="1:8" ht="31.2" outlineLevel="3">
      <c r="A494" s="11" t="s">
        <v>191</v>
      </c>
      <c r="B494" s="12" t="s">
        <v>529</v>
      </c>
      <c r="C494" s="12"/>
      <c r="D494" s="12"/>
      <c r="E494" s="12"/>
      <c r="F494" s="22">
        <f>F495</f>
        <v>206.3</v>
      </c>
      <c r="G494" s="22">
        <f>G495</f>
        <v>204.67148</v>
      </c>
      <c r="H494" s="28">
        <f t="shared" si="11"/>
        <v>99.210605913717885</v>
      </c>
    </row>
    <row r="495" spans="1:8" ht="31.2" outlineLevel="4">
      <c r="A495" s="11" t="s">
        <v>105</v>
      </c>
      <c r="B495" s="12" t="s">
        <v>529</v>
      </c>
      <c r="C495" s="12" t="s">
        <v>106</v>
      </c>
      <c r="D495" s="12" t="s">
        <v>91</v>
      </c>
      <c r="E495" s="12" t="s">
        <v>91</v>
      </c>
      <c r="F495" s="22">
        <f>46.8+55+87+7+5.5+5</f>
        <v>206.3</v>
      </c>
      <c r="G495" s="28">
        <v>204.67148</v>
      </c>
      <c r="H495" s="28">
        <f t="shared" si="11"/>
        <v>99.210605913717885</v>
      </c>
    </row>
    <row r="496" spans="1:8" ht="31.2" outlineLevel="3">
      <c r="A496" s="11" t="s">
        <v>235</v>
      </c>
      <c r="B496" s="12" t="s">
        <v>530</v>
      </c>
      <c r="C496" s="12"/>
      <c r="D496" s="12"/>
      <c r="E496" s="12"/>
      <c r="F496" s="22">
        <f>F497</f>
        <v>805</v>
      </c>
      <c r="G496" s="22">
        <f>G497</f>
        <v>804.93299999999999</v>
      </c>
      <c r="H496" s="28">
        <f t="shared" si="11"/>
        <v>99.991677018633538</v>
      </c>
    </row>
    <row r="497" spans="1:8" outlineLevel="4">
      <c r="A497" s="11" t="s">
        <v>168</v>
      </c>
      <c r="B497" s="12" t="s">
        <v>530</v>
      </c>
      <c r="C497" s="12" t="s">
        <v>169</v>
      </c>
      <c r="D497" s="12" t="s">
        <v>91</v>
      </c>
      <c r="E497" s="12" t="s">
        <v>91</v>
      </c>
      <c r="F497" s="22">
        <f>1165-360</f>
        <v>805</v>
      </c>
      <c r="G497" s="28">
        <v>804.93299999999999</v>
      </c>
      <c r="H497" s="28">
        <f t="shared" si="11"/>
        <v>99.991677018633538</v>
      </c>
    </row>
    <row r="498" spans="1:8" ht="46.8" outlineLevel="3">
      <c r="A498" s="11" t="s">
        <v>531</v>
      </c>
      <c r="B498" s="12" t="s">
        <v>532</v>
      </c>
      <c r="C498" s="12"/>
      <c r="D498" s="12"/>
      <c r="E498" s="12"/>
      <c r="F498" s="22">
        <f>F499+F500+F501</f>
        <v>7252.82</v>
      </c>
      <c r="G498" s="22">
        <f>G499+G500+G501</f>
        <v>6902.6976000000004</v>
      </c>
      <c r="H498" s="28">
        <f t="shared" si="11"/>
        <v>95.172603208131463</v>
      </c>
    </row>
    <row r="499" spans="1:8" ht="93.6" outlineLevel="4">
      <c r="A499" s="11" t="s">
        <v>189</v>
      </c>
      <c r="B499" s="12" t="s">
        <v>532</v>
      </c>
      <c r="C499" s="12" t="s">
        <v>190</v>
      </c>
      <c r="D499" s="12" t="s">
        <v>91</v>
      </c>
      <c r="E499" s="12" t="s">
        <v>91</v>
      </c>
      <c r="F499" s="22">
        <f>6481.3-12-180</f>
        <v>6289.3</v>
      </c>
      <c r="G499" s="28">
        <v>6022.2376700000004</v>
      </c>
      <c r="H499" s="28">
        <f t="shared" si="11"/>
        <v>95.753703432814461</v>
      </c>
    </row>
    <row r="500" spans="1:8" ht="31.2" outlineLevel="4">
      <c r="A500" s="11" t="s">
        <v>105</v>
      </c>
      <c r="B500" s="12" t="s">
        <v>532</v>
      </c>
      <c r="C500" s="12" t="s">
        <v>106</v>
      </c>
      <c r="D500" s="12" t="s">
        <v>91</v>
      </c>
      <c r="E500" s="12" t="s">
        <v>91</v>
      </c>
      <c r="F500" s="22">
        <f>686.66-0.135</f>
        <v>686.52499999999998</v>
      </c>
      <c r="G500" s="28">
        <v>605.56393000000003</v>
      </c>
      <c r="H500" s="28">
        <f t="shared" si="11"/>
        <v>88.207119915516557</v>
      </c>
    </row>
    <row r="501" spans="1:8" outlineLevel="4">
      <c r="A501" s="11" t="s">
        <v>168</v>
      </c>
      <c r="B501" s="12" t="s">
        <v>532</v>
      </c>
      <c r="C501" s="12" t="s">
        <v>169</v>
      </c>
      <c r="D501" s="12" t="s">
        <v>91</v>
      </c>
      <c r="E501" s="12" t="s">
        <v>91</v>
      </c>
      <c r="F501" s="22">
        <f>84.86+12.135+180</f>
        <v>276.995</v>
      </c>
      <c r="G501" s="28">
        <v>274.89600000000002</v>
      </c>
      <c r="H501" s="28">
        <f t="shared" si="11"/>
        <v>99.242224588891503</v>
      </c>
    </row>
    <row r="502" spans="1:8" ht="31.2" outlineLevel="3">
      <c r="A502" s="11" t="s">
        <v>276</v>
      </c>
      <c r="B502" s="12" t="s">
        <v>533</v>
      </c>
      <c r="C502" s="12"/>
      <c r="D502" s="12"/>
      <c r="E502" s="12"/>
      <c r="F502" s="22">
        <f>F503+F504</f>
        <v>3062.3999999999996</v>
      </c>
      <c r="G502" s="22">
        <f>G503+G504</f>
        <v>3032.5598500000001</v>
      </c>
      <c r="H502" s="28">
        <f t="shared" si="11"/>
        <v>99.025595937826566</v>
      </c>
    </row>
    <row r="503" spans="1:8" ht="93.6" outlineLevel="4">
      <c r="A503" s="11" t="s">
        <v>189</v>
      </c>
      <c r="B503" s="12" t="s">
        <v>533</v>
      </c>
      <c r="C503" s="12" t="s">
        <v>190</v>
      </c>
      <c r="D503" s="12" t="s">
        <v>91</v>
      </c>
      <c r="E503" s="12" t="s">
        <v>91</v>
      </c>
      <c r="F503" s="22">
        <f>2405.2+180.6</f>
        <v>2585.7999999999997</v>
      </c>
      <c r="G503" s="28">
        <v>2570.8638599999999</v>
      </c>
      <c r="H503" s="28">
        <f t="shared" si="11"/>
        <v>99.42237837419755</v>
      </c>
    </row>
    <row r="504" spans="1:8" ht="31.2" outlineLevel="4">
      <c r="A504" s="11" t="s">
        <v>105</v>
      </c>
      <c r="B504" s="12" t="s">
        <v>533</v>
      </c>
      <c r="C504" s="12" t="s">
        <v>106</v>
      </c>
      <c r="D504" s="12" t="s">
        <v>91</v>
      </c>
      <c r="E504" s="12" t="s">
        <v>91</v>
      </c>
      <c r="F504" s="22">
        <v>476.6</v>
      </c>
      <c r="G504" s="28">
        <v>461.69598999999999</v>
      </c>
      <c r="H504" s="28">
        <f t="shared" si="11"/>
        <v>96.872847251363822</v>
      </c>
    </row>
    <row r="505" spans="1:8" ht="31.2" outlineLevel="2">
      <c r="A505" s="11" t="s">
        <v>534</v>
      </c>
      <c r="B505" s="12" t="s">
        <v>535</v>
      </c>
      <c r="C505" s="12"/>
      <c r="D505" s="12"/>
      <c r="E505" s="12"/>
      <c r="F505" s="22">
        <f>F506+F509+F511+F513+F515</f>
        <v>176363.12599999999</v>
      </c>
      <c r="G505" s="22">
        <f>G506+G509+G511+G513+G515</f>
        <v>65798.609389999998</v>
      </c>
      <c r="H505" s="28">
        <f t="shared" si="11"/>
        <v>37.308597824468137</v>
      </c>
    </row>
    <row r="506" spans="1:8" ht="31.2" outlineLevel="3">
      <c r="A506" s="11" t="s">
        <v>536</v>
      </c>
      <c r="B506" s="12" t="s">
        <v>537</v>
      </c>
      <c r="C506" s="12"/>
      <c r="D506" s="12"/>
      <c r="E506" s="12"/>
      <c r="F506" s="22">
        <f>F508+F507</f>
        <v>55257.627999999997</v>
      </c>
      <c r="G506" s="22">
        <f>G508+G507</f>
        <v>54490.360309999996</v>
      </c>
      <c r="H506" s="28">
        <f t="shared" si="11"/>
        <v>98.611471903933335</v>
      </c>
    </row>
    <row r="507" spans="1:8" ht="62.4" outlineLevel="3">
      <c r="A507" s="11" t="s">
        <v>119</v>
      </c>
      <c r="B507" s="12" t="s">
        <v>537</v>
      </c>
      <c r="C507" s="12" t="s">
        <v>120</v>
      </c>
      <c r="D507" s="12" t="s">
        <v>89</v>
      </c>
      <c r="E507" s="12" t="s">
        <v>127</v>
      </c>
      <c r="F507" s="22">
        <f>723.628+180</f>
        <v>903.62800000000004</v>
      </c>
      <c r="G507" s="22">
        <f>723.628+180</f>
        <v>903.62800000000004</v>
      </c>
      <c r="H507" s="28">
        <f t="shared" si="11"/>
        <v>100</v>
      </c>
    </row>
    <row r="508" spans="1:8" ht="62.4" outlineLevel="4">
      <c r="A508" s="11" t="s">
        <v>119</v>
      </c>
      <c r="B508" s="12" t="s">
        <v>537</v>
      </c>
      <c r="C508" s="12" t="s">
        <v>120</v>
      </c>
      <c r="D508" s="12" t="s">
        <v>91</v>
      </c>
      <c r="E508" s="12" t="s">
        <v>154</v>
      </c>
      <c r="F508" s="22">
        <f>44044.9-1800+14500-4997+2606.1</f>
        <v>54354</v>
      </c>
      <c r="G508" s="28">
        <v>53586.732309999999</v>
      </c>
      <c r="H508" s="28">
        <f t="shared" si="11"/>
        <v>98.588387809544827</v>
      </c>
    </row>
    <row r="509" spans="1:8" outlineLevel="3">
      <c r="A509" s="11" t="s">
        <v>538</v>
      </c>
      <c r="B509" s="12" t="s">
        <v>539</v>
      </c>
      <c r="C509" s="12"/>
      <c r="D509" s="12"/>
      <c r="E509" s="12"/>
      <c r="F509" s="22">
        <f>F510</f>
        <v>317.29899999999998</v>
      </c>
      <c r="G509" s="22">
        <f>G510</f>
        <v>317.27893999999998</v>
      </c>
      <c r="H509" s="28">
        <f t="shared" si="11"/>
        <v>99.993677887418485</v>
      </c>
    </row>
    <row r="510" spans="1:8" ht="31.2" outlineLevel="4">
      <c r="A510" s="11" t="s">
        <v>105</v>
      </c>
      <c r="B510" s="12" t="s">
        <v>539</v>
      </c>
      <c r="C510" s="12" t="s">
        <v>106</v>
      </c>
      <c r="D510" s="12" t="s">
        <v>91</v>
      </c>
      <c r="E510" s="12" t="s">
        <v>154</v>
      </c>
      <c r="F510" s="22">
        <f>550-200-32.701</f>
        <v>317.29899999999998</v>
      </c>
      <c r="G510" s="28">
        <v>317.27893999999998</v>
      </c>
      <c r="H510" s="28">
        <f t="shared" si="11"/>
        <v>99.993677887418485</v>
      </c>
    </row>
    <row r="511" spans="1:8" ht="31.2" outlineLevel="3">
      <c r="A511" s="11" t="s">
        <v>540</v>
      </c>
      <c r="B511" s="12" t="s">
        <v>541</v>
      </c>
      <c r="C511" s="12"/>
      <c r="D511" s="12"/>
      <c r="E511" s="12"/>
      <c r="F511" s="22">
        <f>F512</f>
        <v>1993.63</v>
      </c>
      <c r="G511" s="22">
        <f>G512</f>
        <v>1993.62066</v>
      </c>
      <c r="H511" s="28">
        <f t="shared" si="11"/>
        <v>99.999531507852495</v>
      </c>
    </row>
    <row r="512" spans="1:8" ht="31.2" outlineLevel="4">
      <c r="A512" s="11" t="s">
        <v>105</v>
      </c>
      <c r="B512" s="12" t="s">
        <v>541</v>
      </c>
      <c r="C512" s="12" t="s">
        <v>106</v>
      </c>
      <c r="D512" s="12" t="s">
        <v>91</v>
      </c>
      <c r="E512" s="12" t="s">
        <v>154</v>
      </c>
      <c r="F512" s="22">
        <f>1900+93.63</f>
        <v>1993.63</v>
      </c>
      <c r="G512" s="22">
        <v>1993.62066</v>
      </c>
      <c r="H512" s="28">
        <f t="shared" si="11"/>
        <v>99.999531507852495</v>
      </c>
    </row>
    <row r="513" spans="1:8" outlineLevel="3">
      <c r="A513" s="11" t="s">
        <v>542</v>
      </c>
      <c r="B513" s="12" t="s">
        <v>543</v>
      </c>
      <c r="C513" s="12"/>
      <c r="D513" s="12"/>
      <c r="E513" s="12"/>
      <c r="F513" s="22">
        <f>F514</f>
        <v>5659.5329999999994</v>
      </c>
      <c r="G513" s="22">
        <f>G514</f>
        <v>5562.3134799999998</v>
      </c>
      <c r="H513" s="28">
        <f t="shared" si="11"/>
        <v>98.282198902276932</v>
      </c>
    </row>
    <row r="514" spans="1:8" ht="31.2" outlineLevel="4">
      <c r="A514" s="11" t="s">
        <v>105</v>
      </c>
      <c r="B514" s="12" t="s">
        <v>543</v>
      </c>
      <c r="C514" s="12" t="s">
        <v>106</v>
      </c>
      <c r="D514" s="12" t="s">
        <v>91</v>
      </c>
      <c r="E514" s="12" t="s">
        <v>154</v>
      </c>
      <c r="F514" s="22">
        <f>1039.66+250+3435.036-3435.036+4997-300-327.127</f>
        <v>5659.5329999999994</v>
      </c>
      <c r="G514" s="28">
        <v>5562.3134799999998</v>
      </c>
      <c r="H514" s="28">
        <f t="shared" si="11"/>
        <v>98.282198902276932</v>
      </c>
    </row>
    <row r="515" spans="1:8" outlineLevel="4">
      <c r="A515" s="19" t="s">
        <v>601</v>
      </c>
      <c r="B515" s="12" t="s">
        <v>602</v>
      </c>
      <c r="C515" s="12"/>
      <c r="D515" s="12"/>
      <c r="E515" s="12"/>
      <c r="F515" s="22">
        <f>F516</f>
        <v>113135.03599999999</v>
      </c>
      <c r="G515" s="22">
        <f>G516</f>
        <v>3435.0360000000001</v>
      </c>
      <c r="H515" s="28">
        <f t="shared" si="11"/>
        <v>3.0362265496605314</v>
      </c>
    </row>
    <row r="516" spans="1:8" ht="31.2" outlineLevel="4">
      <c r="A516" s="19" t="s">
        <v>556</v>
      </c>
      <c r="B516" s="12" t="s">
        <v>602</v>
      </c>
      <c r="C516" s="12" t="s">
        <v>106</v>
      </c>
      <c r="D516" s="12" t="s">
        <v>91</v>
      </c>
      <c r="E516" s="12" t="s">
        <v>154</v>
      </c>
      <c r="F516" s="22">
        <f>3435.036+109700</f>
        <v>113135.03599999999</v>
      </c>
      <c r="G516" s="28">
        <v>3435.0360000000001</v>
      </c>
      <c r="H516" s="28">
        <f t="shared" si="11"/>
        <v>3.0362265496605314</v>
      </c>
    </row>
    <row r="517" spans="1:8" ht="31.2" outlineLevel="2">
      <c r="A517" s="11" t="s">
        <v>544</v>
      </c>
      <c r="B517" s="12" t="s">
        <v>545</v>
      </c>
      <c r="C517" s="12"/>
      <c r="D517" s="12"/>
      <c r="E517" s="12"/>
      <c r="F517" s="22">
        <f>F518+F521</f>
        <v>19291.316999999999</v>
      </c>
      <c r="G517" s="22">
        <f>G518+G521</f>
        <v>19283.563159999998</v>
      </c>
      <c r="H517" s="28">
        <f t="shared" si="11"/>
        <v>99.959806580338707</v>
      </c>
    </row>
    <row r="518" spans="1:8" outlineLevel="3">
      <c r="A518" s="11" t="s">
        <v>0</v>
      </c>
      <c r="B518" s="12" t="s">
        <v>1</v>
      </c>
      <c r="C518" s="12"/>
      <c r="D518" s="12"/>
      <c r="E518" s="12"/>
      <c r="F518" s="22">
        <f>F519+F520</f>
        <v>11848.700999999999</v>
      </c>
      <c r="G518" s="22">
        <f>G519+G520</f>
        <v>11840.94716</v>
      </c>
      <c r="H518" s="28">
        <f t="shared" si="11"/>
        <v>99.934559577459169</v>
      </c>
    </row>
    <row r="519" spans="1:8" ht="31.2" outlineLevel="4">
      <c r="A519" s="11" t="s">
        <v>105</v>
      </c>
      <c r="B519" s="12" t="s">
        <v>1</v>
      </c>
      <c r="C519" s="12" t="s">
        <v>106</v>
      </c>
      <c r="D519" s="12" t="s">
        <v>91</v>
      </c>
      <c r="E519" s="12" t="s">
        <v>154</v>
      </c>
      <c r="F519" s="22">
        <f>15030+72.96-3388.68-298.28+300+95.1-8.8-30.3</f>
        <v>11772</v>
      </c>
      <c r="G519" s="28">
        <v>11764.246789999999</v>
      </c>
      <c r="H519" s="28">
        <f t="shared" si="11"/>
        <v>99.934138549099544</v>
      </c>
    </row>
    <row r="520" spans="1:8" outlineLevel="4">
      <c r="A520" s="19" t="s">
        <v>600</v>
      </c>
      <c r="B520" s="12" t="s">
        <v>1</v>
      </c>
      <c r="C520" s="12" t="s">
        <v>169</v>
      </c>
      <c r="D520" s="12" t="s">
        <v>91</v>
      </c>
      <c r="E520" s="12" t="s">
        <v>154</v>
      </c>
      <c r="F520" s="22">
        <f>4.9+8.8+63.001</f>
        <v>76.700999999999993</v>
      </c>
      <c r="G520" s="28">
        <v>76.700370000000007</v>
      </c>
      <c r="H520" s="28">
        <f t="shared" si="11"/>
        <v>99.999178628701074</v>
      </c>
    </row>
    <row r="521" spans="1:8" outlineLevel="4">
      <c r="A521" s="19" t="s">
        <v>614</v>
      </c>
      <c r="B521" s="12" t="s">
        <v>613</v>
      </c>
      <c r="C521" s="12"/>
      <c r="D521" s="12"/>
      <c r="E521" s="12"/>
      <c r="F521" s="22">
        <f>F522</f>
        <v>7442.616</v>
      </c>
      <c r="G521" s="22">
        <f>G522</f>
        <v>7442.616</v>
      </c>
      <c r="H521" s="28">
        <f t="shared" si="11"/>
        <v>100</v>
      </c>
    </row>
    <row r="522" spans="1:8" outlineLevel="4">
      <c r="A522" s="19" t="s">
        <v>600</v>
      </c>
      <c r="B522" s="12" t="s">
        <v>613</v>
      </c>
      <c r="C522" s="12" t="s">
        <v>169</v>
      </c>
      <c r="D522" s="12" t="s">
        <v>91</v>
      </c>
      <c r="E522" s="12" t="s">
        <v>154</v>
      </c>
      <c r="F522" s="22">
        <f>3686.96+327.127+3428.529</f>
        <v>7442.616</v>
      </c>
      <c r="G522" s="22">
        <f>3686.96+327.127+3428.529</f>
        <v>7442.616</v>
      </c>
      <c r="H522" s="28">
        <f t="shared" si="11"/>
        <v>100</v>
      </c>
    </row>
    <row r="523" spans="1:8" ht="31.2">
      <c r="A523" s="9" t="s">
        <v>2</v>
      </c>
      <c r="B523" s="10" t="s">
        <v>3</v>
      </c>
      <c r="C523" s="10"/>
      <c r="D523" s="10"/>
      <c r="E523" s="10"/>
      <c r="F523" s="23">
        <f>F524+F541</f>
        <v>17224.2</v>
      </c>
      <c r="G523" s="23">
        <f>G524+G541</f>
        <v>17112.281779999998</v>
      </c>
      <c r="H523" s="29">
        <f t="shared" ref="H523:H586" si="12">G523/F523*100</f>
        <v>99.350226890073245</v>
      </c>
    </row>
    <row r="524" spans="1:8" outlineLevel="1">
      <c r="A524" s="13" t="s">
        <v>4</v>
      </c>
      <c r="B524" s="14" t="s">
        <v>5</v>
      </c>
      <c r="C524" s="14"/>
      <c r="D524" s="14"/>
      <c r="E524" s="14"/>
      <c r="F524" s="24">
        <f>F525+F532</f>
        <v>4420.1000000000004</v>
      </c>
      <c r="G524" s="24">
        <f>G525+G532</f>
        <v>4417.2494399999996</v>
      </c>
      <c r="H524" s="30">
        <f t="shared" si="12"/>
        <v>99.93550915137665</v>
      </c>
    </row>
    <row r="525" spans="1:8" ht="46.8" outlineLevel="2">
      <c r="A525" s="11" t="s">
        <v>6</v>
      </c>
      <c r="B525" s="12" t="s">
        <v>7</v>
      </c>
      <c r="C525" s="12"/>
      <c r="D525" s="12"/>
      <c r="E525" s="12"/>
      <c r="F525" s="22">
        <f>F526+F528+F530</f>
        <v>1144</v>
      </c>
      <c r="G525" s="22">
        <f>G526+G528+G530</f>
        <v>1141.4373599999999</v>
      </c>
      <c r="H525" s="28">
        <f t="shared" si="12"/>
        <v>99.775993006993005</v>
      </c>
    </row>
    <row r="526" spans="1:8" ht="31.2" outlineLevel="3">
      <c r="A526" s="11" t="s">
        <v>8</v>
      </c>
      <c r="B526" s="12" t="s">
        <v>9</v>
      </c>
      <c r="C526" s="12"/>
      <c r="D526" s="12"/>
      <c r="E526" s="12"/>
      <c r="F526" s="22">
        <f>F527</f>
        <v>865</v>
      </c>
      <c r="G526" s="22">
        <f>G527</f>
        <v>862.43736000000001</v>
      </c>
      <c r="H526" s="28">
        <f t="shared" si="12"/>
        <v>99.703741040462432</v>
      </c>
    </row>
    <row r="527" spans="1:8" ht="31.2" outlineLevel="4">
      <c r="A527" s="11" t="s">
        <v>105</v>
      </c>
      <c r="B527" s="12" t="s">
        <v>9</v>
      </c>
      <c r="C527" s="12" t="s">
        <v>106</v>
      </c>
      <c r="D527" s="12" t="s">
        <v>250</v>
      </c>
      <c r="E527" s="12" t="s">
        <v>250</v>
      </c>
      <c r="F527" s="22">
        <f>725+140</f>
        <v>865</v>
      </c>
      <c r="G527" s="28">
        <v>862.43736000000001</v>
      </c>
      <c r="H527" s="28">
        <f t="shared" si="12"/>
        <v>99.703741040462432</v>
      </c>
    </row>
    <row r="528" spans="1:8" ht="78" outlineLevel="4">
      <c r="A528" s="11" t="s">
        <v>10</v>
      </c>
      <c r="B528" s="12" t="s">
        <v>15</v>
      </c>
      <c r="C528" s="12"/>
      <c r="D528" s="12"/>
      <c r="E528" s="12"/>
      <c r="F528" s="22">
        <f>F529</f>
        <v>99</v>
      </c>
      <c r="G528" s="22">
        <f>G529</f>
        <v>99</v>
      </c>
      <c r="H528" s="28">
        <f t="shared" si="12"/>
        <v>100</v>
      </c>
    </row>
    <row r="529" spans="1:8" ht="31.2" outlineLevel="4">
      <c r="A529" s="11" t="s">
        <v>161</v>
      </c>
      <c r="B529" s="12" t="s">
        <v>15</v>
      </c>
      <c r="C529" s="12" t="s">
        <v>162</v>
      </c>
      <c r="D529" s="12" t="s">
        <v>250</v>
      </c>
      <c r="E529" s="12" t="s">
        <v>250</v>
      </c>
      <c r="F529" s="22">
        <v>99</v>
      </c>
      <c r="G529" s="22">
        <v>99</v>
      </c>
      <c r="H529" s="28">
        <f t="shared" si="12"/>
        <v>100</v>
      </c>
    </row>
    <row r="530" spans="1:8" ht="31.2" outlineLevel="4">
      <c r="A530" s="19" t="s">
        <v>620</v>
      </c>
      <c r="B530" s="12" t="s">
        <v>621</v>
      </c>
      <c r="C530" s="12"/>
      <c r="D530" s="12"/>
      <c r="E530" s="12"/>
      <c r="F530" s="22">
        <f>F531</f>
        <v>180</v>
      </c>
      <c r="G530" s="22">
        <f>G531</f>
        <v>180</v>
      </c>
      <c r="H530" s="28">
        <f t="shared" si="12"/>
        <v>100</v>
      </c>
    </row>
    <row r="531" spans="1:8" ht="31.2" outlineLevel="4">
      <c r="A531" s="11" t="s">
        <v>105</v>
      </c>
      <c r="B531" s="12" t="s">
        <v>621</v>
      </c>
      <c r="C531" s="12" t="s">
        <v>106</v>
      </c>
      <c r="D531" s="12" t="s">
        <v>250</v>
      </c>
      <c r="E531" s="12" t="s">
        <v>250</v>
      </c>
      <c r="F531" s="22">
        <v>180</v>
      </c>
      <c r="G531" s="22">
        <v>180</v>
      </c>
      <c r="H531" s="28">
        <f t="shared" si="12"/>
        <v>100</v>
      </c>
    </row>
    <row r="532" spans="1:8" ht="31.2" outlineLevel="2">
      <c r="A532" s="11" t="s">
        <v>185</v>
      </c>
      <c r="B532" s="12" t="s">
        <v>16</v>
      </c>
      <c r="C532" s="12"/>
      <c r="D532" s="12"/>
      <c r="E532" s="12"/>
      <c r="F532" s="22">
        <f>F533+F535+F538</f>
        <v>3276.1</v>
      </c>
      <c r="G532" s="22">
        <f>G533+G535+G538</f>
        <v>3275.8120800000002</v>
      </c>
      <c r="H532" s="28">
        <f t="shared" si="12"/>
        <v>99.991211501480421</v>
      </c>
    </row>
    <row r="533" spans="1:8" ht="31.2" outlineLevel="3">
      <c r="A533" s="11" t="s">
        <v>187</v>
      </c>
      <c r="B533" s="12" t="s">
        <v>17</v>
      </c>
      <c r="C533" s="12"/>
      <c r="D533" s="12"/>
      <c r="E533" s="12"/>
      <c r="F533" s="22">
        <f>F534</f>
        <v>2386.8000000000002</v>
      </c>
      <c r="G533" s="22">
        <f>G534</f>
        <v>2386.7615900000001</v>
      </c>
      <c r="H533" s="28">
        <f t="shared" si="12"/>
        <v>99.998390732361315</v>
      </c>
    </row>
    <row r="534" spans="1:8" ht="93.6" outlineLevel="4">
      <c r="A534" s="11" t="s">
        <v>189</v>
      </c>
      <c r="B534" s="12" t="s">
        <v>17</v>
      </c>
      <c r="C534" s="12" t="s">
        <v>190</v>
      </c>
      <c r="D534" s="12" t="s">
        <v>250</v>
      </c>
      <c r="E534" s="12" t="s">
        <v>127</v>
      </c>
      <c r="F534" s="22">
        <f>2136.8+250</f>
        <v>2386.8000000000002</v>
      </c>
      <c r="G534" s="28">
        <v>2386.7615900000001</v>
      </c>
      <c r="H534" s="28">
        <f t="shared" si="12"/>
        <v>99.998390732361315</v>
      </c>
    </row>
    <row r="535" spans="1:8" ht="31.2" outlineLevel="3">
      <c r="A535" s="11" t="s">
        <v>191</v>
      </c>
      <c r="B535" s="12" t="s">
        <v>18</v>
      </c>
      <c r="C535" s="12"/>
      <c r="D535" s="12"/>
      <c r="E535" s="12"/>
      <c r="F535" s="22">
        <f>F536+F537</f>
        <v>15.6</v>
      </c>
      <c r="G535" s="22">
        <f>G536+G537</f>
        <v>15.3505</v>
      </c>
      <c r="H535" s="28">
        <f t="shared" si="12"/>
        <v>98.400641025641036</v>
      </c>
    </row>
    <row r="536" spans="1:8" ht="31.2" outlineLevel="4">
      <c r="A536" s="11" t="s">
        <v>105</v>
      </c>
      <c r="B536" s="12" t="s">
        <v>18</v>
      </c>
      <c r="C536" s="12" t="s">
        <v>106</v>
      </c>
      <c r="D536" s="12" t="s">
        <v>250</v>
      </c>
      <c r="E536" s="12" t="s">
        <v>127</v>
      </c>
      <c r="F536" s="22">
        <f>7.6+7</f>
        <v>14.6</v>
      </c>
      <c r="G536" s="28">
        <v>14.5875</v>
      </c>
      <c r="H536" s="28">
        <f t="shared" si="12"/>
        <v>99.914383561643831</v>
      </c>
    </row>
    <row r="537" spans="1:8" outlineLevel="4">
      <c r="A537" s="11" t="s">
        <v>168</v>
      </c>
      <c r="B537" s="12" t="s">
        <v>18</v>
      </c>
      <c r="C537" s="12" t="s">
        <v>169</v>
      </c>
      <c r="D537" s="12" t="s">
        <v>250</v>
      </c>
      <c r="E537" s="12" t="s">
        <v>127</v>
      </c>
      <c r="F537" s="22">
        <f>8-7</f>
        <v>1</v>
      </c>
      <c r="G537" s="28">
        <v>0.76300000000000001</v>
      </c>
      <c r="H537" s="28">
        <f t="shared" si="12"/>
        <v>76.3</v>
      </c>
    </row>
    <row r="538" spans="1:8" ht="31.2" outlineLevel="3">
      <c r="A538" s="11" t="s">
        <v>276</v>
      </c>
      <c r="B538" s="12" t="s">
        <v>19</v>
      </c>
      <c r="C538" s="12"/>
      <c r="D538" s="12"/>
      <c r="E538" s="12"/>
      <c r="F538" s="22">
        <f>F539+F540</f>
        <v>873.69999999999993</v>
      </c>
      <c r="G538" s="22">
        <f>G539+G540</f>
        <v>873.69998999999996</v>
      </c>
      <c r="H538" s="28">
        <f t="shared" si="12"/>
        <v>99.999998855442371</v>
      </c>
    </row>
    <row r="539" spans="1:8" ht="93.6" outlineLevel="4">
      <c r="A539" s="11" t="s">
        <v>189</v>
      </c>
      <c r="B539" s="12" t="s">
        <v>19</v>
      </c>
      <c r="C539" s="12" t="s">
        <v>190</v>
      </c>
      <c r="D539" s="12" t="s">
        <v>250</v>
      </c>
      <c r="E539" s="12" t="s">
        <v>127</v>
      </c>
      <c r="F539" s="22">
        <v>851.3</v>
      </c>
      <c r="G539" s="22">
        <v>851.29998999999998</v>
      </c>
      <c r="H539" s="28">
        <f t="shared" si="12"/>
        <v>99.999998825325974</v>
      </c>
    </row>
    <row r="540" spans="1:8" ht="31.2" outlineLevel="4">
      <c r="A540" s="11" t="s">
        <v>105</v>
      </c>
      <c r="B540" s="12" t="s">
        <v>19</v>
      </c>
      <c r="C540" s="12" t="s">
        <v>106</v>
      </c>
      <c r="D540" s="12" t="s">
        <v>250</v>
      </c>
      <c r="E540" s="12" t="s">
        <v>127</v>
      </c>
      <c r="F540" s="22">
        <v>22.4</v>
      </c>
      <c r="G540" s="22">
        <v>22.4</v>
      </c>
      <c r="H540" s="28">
        <f t="shared" si="12"/>
        <v>100</v>
      </c>
    </row>
    <row r="541" spans="1:8" ht="46.8" outlineLevel="1">
      <c r="A541" s="13" t="s">
        <v>20</v>
      </c>
      <c r="B541" s="14" t="s">
        <v>21</v>
      </c>
      <c r="C541" s="14"/>
      <c r="D541" s="14"/>
      <c r="E541" s="14"/>
      <c r="F541" s="24">
        <f>F542</f>
        <v>12804.1</v>
      </c>
      <c r="G541" s="24">
        <f>G542</f>
        <v>12695.03234</v>
      </c>
      <c r="H541" s="30">
        <f t="shared" si="12"/>
        <v>99.148181754281822</v>
      </c>
    </row>
    <row r="542" spans="1:8" ht="46.8" outlineLevel="2">
      <c r="A542" s="11" t="s">
        <v>13</v>
      </c>
      <c r="B542" s="12" t="s">
        <v>22</v>
      </c>
      <c r="C542" s="12"/>
      <c r="D542" s="12"/>
      <c r="E542" s="12"/>
      <c r="F542" s="22">
        <f>F543+F545+F549+F551+F553+F547</f>
        <v>12804.1</v>
      </c>
      <c r="G542" s="22">
        <f>G543+G545+G549+G551+G553+G547</f>
        <v>12695.03234</v>
      </c>
      <c r="H542" s="28">
        <f t="shared" si="12"/>
        <v>99.148181754281822</v>
      </c>
    </row>
    <row r="543" spans="1:8" ht="31.2" outlineLevel="3">
      <c r="A543" s="11" t="s">
        <v>266</v>
      </c>
      <c r="B543" s="12" t="s">
        <v>23</v>
      </c>
      <c r="C543" s="12"/>
      <c r="D543" s="12"/>
      <c r="E543" s="12"/>
      <c r="F543" s="22">
        <f>F544</f>
        <v>3</v>
      </c>
      <c r="G543" s="22">
        <f>G544</f>
        <v>3</v>
      </c>
      <c r="H543" s="28">
        <f t="shared" si="12"/>
        <v>100</v>
      </c>
    </row>
    <row r="544" spans="1:8" ht="31.2" outlineLevel="4">
      <c r="A544" s="11" t="s">
        <v>105</v>
      </c>
      <c r="B544" s="12" t="s">
        <v>23</v>
      </c>
      <c r="C544" s="12" t="s">
        <v>106</v>
      </c>
      <c r="D544" s="12" t="s">
        <v>250</v>
      </c>
      <c r="E544" s="12" t="s">
        <v>92</v>
      </c>
      <c r="F544" s="22">
        <v>3</v>
      </c>
      <c r="G544" s="22">
        <v>3</v>
      </c>
      <c r="H544" s="28">
        <f t="shared" si="12"/>
        <v>100</v>
      </c>
    </row>
    <row r="545" spans="1:8" ht="109.2" outlineLevel="4">
      <c r="A545" s="11" t="s">
        <v>479</v>
      </c>
      <c r="B545" s="12" t="s">
        <v>24</v>
      </c>
      <c r="C545" s="12"/>
      <c r="D545" s="12"/>
      <c r="E545" s="12"/>
      <c r="F545" s="22">
        <f>F546</f>
        <v>767.9</v>
      </c>
      <c r="G545" s="22">
        <f>G546</f>
        <v>767.9</v>
      </c>
      <c r="H545" s="28">
        <f t="shared" si="12"/>
        <v>100</v>
      </c>
    </row>
    <row r="546" spans="1:8" ht="62.4" outlineLevel="4">
      <c r="A546" s="11" t="s">
        <v>119</v>
      </c>
      <c r="B546" s="12" t="s">
        <v>24</v>
      </c>
      <c r="C546" s="12" t="s">
        <v>120</v>
      </c>
      <c r="D546" s="12" t="s">
        <v>250</v>
      </c>
      <c r="E546" s="12" t="s">
        <v>92</v>
      </c>
      <c r="F546" s="22">
        <f>552+215.9</f>
        <v>767.9</v>
      </c>
      <c r="G546" s="22">
        <f>552+215.9</f>
        <v>767.9</v>
      </c>
      <c r="H546" s="28">
        <f t="shared" si="12"/>
        <v>100</v>
      </c>
    </row>
    <row r="547" spans="1:8" ht="31.2" outlineLevel="4">
      <c r="A547" s="19" t="s">
        <v>620</v>
      </c>
      <c r="B547" s="12" t="s">
        <v>622</v>
      </c>
      <c r="C547" s="12"/>
      <c r="D547" s="12"/>
      <c r="E547" s="12"/>
      <c r="F547" s="22">
        <f>F548</f>
        <v>10</v>
      </c>
      <c r="G547" s="22">
        <f>G548</f>
        <v>10</v>
      </c>
      <c r="H547" s="28">
        <f t="shared" si="12"/>
        <v>100</v>
      </c>
    </row>
    <row r="548" spans="1:8" ht="62.4" outlineLevel="4">
      <c r="A548" s="19" t="s">
        <v>596</v>
      </c>
      <c r="B548" s="12" t="s">
        <v>622</v>
      </c>
      <c r="C548" s="12" t="s">
        <v>120</v>
      </c>
      <c r="D548" s="12" t="s">
        <v>250</v>
      </c>
      <c r="E548" s="12" t="s">
        <v>250</v>
      </c>
      <c r="F548" s="22">
        <v>10</v>
      </c>
      <c r="G548" s="22">
        <v>10</v>
      </c>
      <c r="H548" s="28">
        <f t="shared" si="12"/>
        <v>100</v>
      </c>
    </row>
    <row r="549" spans="1:8" ht="78" outlineLevel="3">
      <c r="A549" s="11" t="s">
        <v>25</v>
      </c>
      <c r="B549" s="12" t="s">
        <v>26</v>
      </c>
      <c r="C549" s="12"/>
      <c r="D549" s="12"/>
      <c r="E549" s="12"/>
      <c r="F549" s="22">
        <f>F550</f>
        <v>100</v>
      </c>
      <c r="G549" s="22">
        <f>G550</f>
        <v>100</v>
      </c>
      <c r="H549" s="28">
        <f t="shared" si="12"/>
        <v>100</v>
      </c>
    </row>
    <row r="550" spans="1:8" ht="62.4" outlineLevel="4">
      <c r="A550" s="11" t="s">
        <v>119</v>
      </c>
      <c r="B550" s="12" t="s">
        <v>26</v>
      </c>
      <c r="C550" s="12" t="s">
        <v>120</v>
      </c>
      <c r="D550" s="12" t="s">
        <v>250</v>
      </c>
      <c r="E550" s="12" t="s">
        <v>250</v>
      </c>
      <c r="F550" s="22">
        <v>100</v>
      </c>
      <c r="G550" s="22">
        <v>100</v>
      </c>
      <c r="H550" s="28">
        <f t="shared" si="12"/>
        <v>100</v>
      </c>
    </row>
    <row r="551" spans="1:8" ht="31.2" outlineLevel="3">
      <c r="A551" s="11" t="s">
        <v>27</v>
      </c>
      <c r="B551" s="12" t="s">
        <v>28</v>
      </c>
      <c r="C551" s="12"/>
      <c r="D551" s="12"/>
      <c r="E551" s="12"/>
      <c r="F551" s="22">
        <f>F552</f>
        <v>50</v>
      </c>
      <c r="G551" s="22">
        <f>G552</f>
        <v>50</v>
      </c>
      <c r="H551" s="28">
        <f t="shared" si="12"/>
        <v>100</v>
      </c>
    </row>
    <row r="552" spans="1:8" ht="62.4" outlineLevel="4">
      <c r="A552" s="11" t="s">
        <v>119</v>
      </c>
      <c r="B552" s="12" t="s">
        <v>28</v>
      </c>
      <c r="C552" s="12" t="s">
        <v>120</v>
      </c>
      <c r="D552" s="12" t="s">
        <v>250</v>
      </c>
      <c r="E552" s="12" t="s">
        <v>250</v>
      </c>
      <c r="F552" s="22">
        <v>50</v>
      </c>
      <c r="G552" s="22">
        <v>50</v>
      </c>
      <c r="H552" s="28">
        <f t="shared" si="12"/>
        <v>100</v>
      </c>
    </row>
    <row r="553" spans="1:8" ht="31.2" outlineLevel="3">
      <c r="A553" s="11" t="s">
        <v>29</v>
      </c>
      <c r="B553" s="12" t="s">
        <v>30</v>
      </c>
      <c r="C553" s="12"/>
      <c r="D553" s="12"/>
      <c r="E553" s="12"/>
      <c r="F553" s="22">
        <f>F554</f>
        <v>11873.2</v>
      </c>
      <c r="G553" s="22">
        <f>G554</f>
        <v>11764.13234</v>
      </c>
      <c r="H553" s="28">
        <f t="shared" si="12"/>
        <v>99.08139625374794</v>
      </c>
    </row>
    <row r="554" spans="1:8" ht="62.4" outlineLevel="4">
      <c r="A554" s="11" t="s">
        <v>119</v>
      </c>
      <c r="B554" s="12" t="s">
        <v>30</v>
      </c>
      <c r="C554" s="12" t="s">
        <v>120</v>
      </c>
      <c r="D554" s="12" t="s">
        <v>250</v>
      </c>
      <c r="E554" s="12" t="s">
        <v>92</v>
      </c>
      <c r="F554" s="22">
        <f>10670.6+467.6+205.4+529.6</f>
        <v>11873.2</v>
      </c>
      <c r="G554" s="28">
        <v>11764.13234</v>
      </c>
      <c r="H554" s="28">
        <f t="shared" si="12"/>
        <v>99.08139625374794</v>
      </c>
    </row>
    <row r="555" spans="1:8" ht="31.2">
      <c r="A555" s="9" t="s">
        <v>31</v>
      </c>
      <c r="B555" s="10" t="s">
        <v>32</v>
      </c>
      <c r="C555" s="10"/>
      <c r="D555" s="10"/>
      <c r="E555" s="10"/>
      <c r="F555" s="23">
        <f>F556+F565+F571+F574+F579</f>
        <v>102885.5</v>
      </c>
      <c r="G555" s="23">
        <f>G556+G565+G571+G574+G579</f>
        <v>102843.98552</v>
      </c>
      <c r="H555" s="29">
        <f t="shared" si="12"/>
        <v>99.959649824319271</v>
      </c>
    </row>
    <row r="556" spans="1:8" ht="46.8" outlineLevel="2">
      <c r="A556" s="11" t="s">
        <v>33</v>
      </c>
      <c r="B556" s="12" t="s">
        <v>34</v>
      </c>
      <c r="C556" s="12"/>
      <c r="D556" s="12"/>
      <c r="E556" s="12"/>
      <c r="F556" s="22">
        <f>F557+F559+F561+F563</f>
        <v>85239.008050000004</v>
      </c>
      <c r="G556" s="22">
        <f>G557+G559+G561+G563</f>
        <v>85235.240539999999</v>
      </c>
      <c r="H556" s="28">
        <f t="shared" si="12"/>
        <v>99.995580063534064</v>
      </c>
    </row>
    <row r="557" spans="1:8" ht="31.2" outlineLevel="3">
      <c r="A557" s="11" t="s">
        <v>35</v>
      </c>
      <c r="B557" s="12" t="s">
        <v>36</v>
      </c>
      <c r="C557" s="12"/>
      <c r="D557" s="12"/>
      <c r="E557" s="12"/>
      <c r="F557" s="22">
        <f>F558</f>
        <v>76.5</v>
      </c>
      <c r="G557" s="22">
        <f>G558</f>
        <v>76.5</v>
      </c>
      <c r="H557" s="28">
        <f t="shared" si="12"/>
        <v>100</v>
      </c>
    </row>
    <row r="558" spans="1:8" ht="62.4" outlineLevel="4">
      <c r="A558" s="11" t="s">
        <v>119</v>
      </c>
      <c r="B558" s="12" t="s">
        <v>36</v>
      </c>
      <c r="C558" s="12" t="s">
        <v>120</v>
      </c>
      <c r="D558" s="12" t="s">
        <v>250</v>
      </c>
      <c r="E558" s="12" t="s">
        <v>92</v>
      </c>
      <c r="F558" s="22">
        <v>76.5</v>
      </c>
      <c r="G558" s="22">
        <v>76.5</v>
      </c>
      <c r="H558" s="28">
        <f t="shared" si="12"/>
        <v>100</v>
      </c>
    </row>
    <row r="559" spans="1:8" ht="46.8" outlineLevel="3">
      <c r="A559" s="11" t="s">
        <v>37</v>
      </c>
      <c r="B559" s="12" t="s">
        <v>38</v>
      </c>
      <c r="C559" s="12"/>
      <c r="D559" s="12"/>
      <c r="E559" s="12"/>
      <c r="F559" s="22">
        <f>F560</f>
        <v>40</v>
      </c>
      <c r="G559" s="22">
        <f>G560</f>
        <v>40</v>
      </c>
      <c r="H559" s="28">
        <f t="shared" si="12"/>
        <v>100</v>
      </c>
    </row>
    <row r="560" spans="1:8" ht="62.4" outlineLevel="4">
      <c r="A560" s="11" t="s">
        <v>119</v>
      </c>
      <c r="B560" s="12" t="s">
        <v>38</v>
      </c>
      <c r="C560" s="12" t="s">
        <v>120</v>
      </c>
      <c r="D560" s="12" t="s">
        <v>417</v>
      </c>
      <c r="E560" s="12" t="s">
        <v>92</v>
      </c>
      <c r="F560" s="22">
        <v>40</v>
      </c>
      <c r="G560" s="22">
        <v>40</v>
      </c>
      <c r="H560" s="28">
        <f t="shared" si="12"/>
        <v>100</v>
      </c>
    </row>
    <row r="561" spans="1:8" ht="109.2" outlineLevel="3">
      <c r="A561" s="11" t="s">
        <v>479</v>
      </c>
      <c r="B561" s="12" t="s">
        <v>39</v>
      </c>
      <c r="C561" s="12"/>
      <c r="D561" s="12"/>
      <c r="E561" s="12"/>
      <c r="F561" s="22">
        <f>F562</f>
        <v>2994</v>
      </c>
      <c r="G561" s="22">
        <f>G562</f>
        <v>2994</v>
      </c>
      <c r="H561" s="28">
        <f t="shared" si="12"/>
        <v>100</v>
      </c>
    </row>
    <row r="562" spans="1:8" ht="62.4" outlineLevel="4">
      <c r="A562" s="11" t="s">
        <v>119</v>
      </c>
      <c r="B562" s="12" t="s">
        <v>39</v>
      </c>
      <c r="C562" s="12" t="s">
        <v>120</v>
      </c>
      <c r="D562" s="12" t="s">
        <v>250</v>
      </c>
      <c r="E562" s="12" t="s">
        <v>92</v>
      </c>
      <c r="F562" s="22">
        <f>2152.3+841.7</f>
        <v>2994</v>
      </c>
      <c r="G562" s="22">
        <f>2152.3+841.7</f>
        <v>2994</v>
      </c>
      <c r="H562" s="28">
        <f t="shared" si="12"/>
        <v>100</v>
      </c>
    </row>
    <row r="563" spans="1:8" ht="31.2" outlineLevel="3">
      <c r="A563" s="11" t="s">
        <v>29</v>
      </c>
      <c r="B563" s="12" t="s">
        <v>40</v>
      </c>
      <c r="C563" s="12"/>
      <c r="D563" s="12"/>
      <c r="E563" s="12"/>
      <c r="F563" s="22">
        <f>F564</f>
        <v>82128.508050000004</v>
      </c>
      <c r="G563" s="22">
        <f>G564</f>
        <v>82124.740539999999</v>
      </c>
      <c r="H563" s="28">
        <f t="shared" si="12"/>
        <v>99.995412664750077</v>
      </c>
    </row>
    <row r="564" spans="1:8" ht="62.4" outlineLevel="4">
      <c r="A564" s="11" t="s">
        <v>119</v>
      </c>
      <c r="B564" s="12" t="s">
        <v>40</v>
      </c>
      <c r="C564" s="12" t="s">
        <v>120</v>
      </c>
      <c r="D564" s="12" t="s">
        <v>250</v>
      </c>
      <c r="E564" s="12" t="s">
        <v>92</v>
      </c>
      <c r="F564" s="22">
        <f>80318.1+96.9+563.2+98.8+564+487.50805</f>
        <v>82128.508050000004</v>
      </c>
      <c r="G564" s="28">
        <v>82124.740539999999</v>
      </c>
      <c r="H564" s="28">
        <f t="shared" si="12"/>
        <v>99.995412664750077</v>
      </c>
    </row>
    <row r="565" spans="1:8" ht="78" outlineLevel="2">
      <c r="A565" s="11" t="s">
        <v>42</v>
      </c>
      <c r="B565" s="12" t="s">
        <v>43</v>
      </c>
      <c r="C565" s="12"/>
      <c r="D565" s="12"/>
      <c r="E565" s="12"/>
      <c r="F565" s="22">
        <f>F566+F568</f>
        <v>1207.4919500000001</v>
      </c>
      <c r="G565" s="22">
        <f>G566+G568</f>
        <v>1207.4919500000001</v>
      </c>
      <c r="H565" s="28">
        <f t="shared" si="12"/>
        <v>100</v>
      </c>
    </row>
    <row r="566" spans="1:8" ht="31.2" outlineLevel="3">
      <c r="A566" s="11" t="s">
        <v>266</v>
      </c>
      <c r="B566" s="12" t="s">
        <v>44</v>
      </c>
      <c r="C566" s="12"/>
      <c r="D566" s="12"/>
      <c r="E566" s="12"/>
      <c r="F566" s="22">
        <f>F567</f>
        <v>20</v>
      </c>
      <c r="G566" s="22">
        <f>G567</f>
        <v>20</v>
      </c>
      <c r="H566" s="28">
        <f t="shared" si="12"/>
        <v>100</v>
      </c>
    </row>
    <row r="567" spans="1:8" ht="62.4" outlineLevel="4">
      <c r="A567" s="11" t="s">
        <v>119</v>
      </c>
      <c r="B567" s="12" t="s">
        <v>44</v>
      </c>
      <c r="C567" s="12" t="s">
        <v>120</v>
      </c>
      <c r="D567" s="12" t="s">
        <v>417</v>
      </c>
      <c r="E567" s="12" t="s">
        <v>92</v>
      </c>
      <c r="F567" s="22">
        <v>20</v>
      </c>
      <c r="G567" s="22">
        <v>20</v>
      </c>
      <c r="H567" s="28">
        <f t="shared" si="12"/>
        <v>100</v>
      </c>
    </row>
    <row r="568" spans="1:8" ht="46.8" outlineLevel="3">
      <c r="A568" s="11" t="s">
        <v>45</v>
      </c>
      <c r="B568" s="12" t="s">
        <v>46</v>
      </c>
      <c r="C568" s="12"/>
      <c r="D568" s="12"/>
      <c r="E568" s="12"/>
      <c r="F568" s="22">
        <f>F569+F570</f>
        <v>1187.4919500000001</v>
      </c>
      <c r="G568" s="22">
        <f>G569+G570</f>
        <v>1187.4919500000001</v>
      </c>
      <c r="H568" s="28">
        <f t="shared" si="12"/>
        <v>100</v>
      </c>
    </row>
    <row r="569" spans="1:8" ht="62.4" outlineLevel="5">
      <c r="A569" s="11" t="s">
        <v>119</v>
      </c>
      <c r="B569" s="12" t="s">
        <v>46</v>
      </c>
      <c r="C569" s="12" t="s">
        <v>120</v>
      </c>
      <c r="D569" s="12" t="s">
        <v>417</v>
      </c>
      <c r="E569" s="12" t="s">
        <v>116</v>
      </c>
      <c r="F569" s="22">
        <f>702-276.03305</f>
        <v>425.96695</v>
      </c>
      <c r="G569" s="22">
        <f>702-276.03305</f>
        <v>425.96695</v>
      </c>
      <c r="H569" s="28">
        <f t="shared" si="12"/>
        <v>100</v>
      </c>
    </row>
    <row r="570" spans="1:8" ht="62.4" outlineLevel="5">
      <c r="A570" s="11" t="s">
        <v>119</v>
      </c>
      <c r="B570" s="12" t="s">
        <v>46</v>
      </c>
      <c r="C570" s="12" t="s">
        <v>120</v>
      </c>
      <c r="D570" s="12" t="s">
        <v>417</v>
      </c>
      <c r="E570" s="12" t="s">
        <v>92</v>
      </c>
      <c r="F570" s="22">
        <f>973-211.475</f>
        <v>761.52499999999998</v>
      </c>
      <c r="G570" s="22">
        <f>973-211.475</f>
        <v>761.52499999999998</v>
      </c>
      <c r="H570" s="28">
        <f t="shared" si="12"/>
        <v>100</v>
      </c>
    </row>
    <row r="571" spans="1:8" ht="31.2" hidden="1" outlineLevel="2">
      <c r="A571" s="11" t="s">
        <v>47</v>
      </c>
      <c r="B571" s="12" t="s">
        <v>48</v>
      </c>
      <c r="C571" s="12"/>
      <c r="D571" s="12"/>
      <c r="E571" s="12"/>
      <c r="F571" s="22">
        <f>F572</f>
        <v>0</v>
      </c>
      <c r="G571" s="28"/>
      <c r="H571" s="28" t="e">
        <f t="shared" si="12"/>
        <v>#DIV/0!</v>
      </c>
    </row>
    <row r="572" spans="1:8" hidden="1" outlineLevel="3">
      <c r="A572" s="11" t="s">
        <v>49</v>
      </c>
      <c r="B572" s="12" t="s">
        <v>50</v>
      </c>
      <c r="C572" s="12"/>
      <c r="D572" s="12"/>
      <c r="E572" s="12"/>
      <c r="F572" s="22">
        <f>F573</f>
        <v>0</v>
      </c>
      <c r="G572" s="28"/>
      <c r="H572" s="28" t="e">
        <f t="shared" si="12"/>
        <v>#DIV/0!</v>
      </c>
    </row>
    <row r="573" spans="1:8" ht="31.2" hidden="1" outlineLevel="4">
      <c r="A573" s="11" t="s">
        <v>87</v>
      </c>
      <c r="B573" s="12" t="s">
        <v>50</v>
      </c>
      <c r="C573" s="12" t="s">
        <v>88</v>
      </c>
      <c r="D573" s="12" t="s">
        <v>417</v>
      </c>
      <c r="E573" s="12" t="s">
        <v>92</v>
      </c>
      <c r="F573" s="22">
        <f>20000-20000</f>
        <v>0</v>
      </c>
      <c r="G573" s="28"/>
      <c r="H573" s="28" t="e">
        <f t="shared" si="12"/>
        <v>#DIV/0!</v>
      </c>
    </row>
    <row r="574" spans="1:8" ht="31.2" outlineLevel="2" collapsed="1">
      <c r="A574" s="11" t="s">
        <v>51</v>
      </c>
      <c r="B574" s="12" t="s">
        <v>52</v>
      </c>
      <c r="C574" s="12"/>
      <c r="D574" s="12"/>
      <c r="E574" s="12"/>
      <c r="F574" s="22">
        <f>F575+F577</f>
        <v>12127.5</v>
      </c>
      <c r="G574" s="22">
        <f>G575+G577</f>
        <v>12127.49993</v>
      </c>
      <c r="H574" s="28">
        <f t="shared" si="12"/>
        <v>99.999999422799419</v>
      </c>
    </row>
    <row r="575" spans="1:8" outlineLevel="3">
      <c r="A575" s="11" t="s">
        <v>53</v>
      </c>
      <c r="B575" s="12" t="s">
        <v>54</v>
      </c>
      <c r="C575" s="12"/>
      <c r="D575" s="12"/>
      <c r="E575" s="12"/>
      <c r="F575" s="22">
        <f>F576</f>
        <v>2461</v>
      </c>
      <c r="G575" s="22">
        <f>G576</f>
        <v>2460.9999299999999</v>
      </c>
      <c r="H575" s="28">
        <f t="shared" si="12"/>
        <v>99.999997155627796</v>
      </c>
    </row>
    <row r="576" spans="1:8" ht="62.4" outlineLevel="4">
      <c r="A576" s="11" t="s">
        <v>119</v>
      </c>
      <c r="B576" s="12" t="s">
        <v>54</v>
      </c>
      <c r="C576" s="12" t="s">
        <v>120</v>
      </c>
      <c r="D576" s="12" t="s">
        <v>417</v>
      </c>
      <c r="E576" s="12" t="s">
        <v>92</v>
      </c>
      <c r="F576" s="22">
        <f>1911+350+200</f>
        <v>2461</v>
      </c>
      <c r="G576" s="22">
        <v>2460.9999299999999</v>
      </c>
      <c r="H576" s="28">
        <f t="shared" si="12"/>
        <v>99.999997155627796</v>
      </c>
    </row>
    <row r="577" spans="1:8" ht="31.2" outlineLevel="3">
      <c r="A577" s="11" t="s">
        <v>594</v>
      </c>
      <c r="B577" s="12" t="s">
        <v>55</v>
      </c>
      <c r="C577" s="12"/>
      <c r="D577" s="12"/>
      <c r="E577" s="12"/>
      <c r="F577" s="22">
        <f>F578</f>
        <v>9666.5</v>
      </c>
      <c r="G577" s="22">
        <f>G578</f>
        <v>9666.5</v>
      </c>
      <c r="H577" s="28">
        <f t="shared" si="12"/>
        <v>100</v>
      </c>
    </row>
    <row r="578" spans="1:8" ht="62.4" outlineLevel="4">
      <c r="A578" s="11" t="s">
        <v>119</v>
      </c>
      <c r="B578" s="12" t="s">
        <v>55</v>
      </c>
      <c r="C578" s="12" t="s">
        <v>120</v>
      </c>
      <c r="D578" s="12" t="s">
        <v>417</v>
      </c>
      <c r="E578" s="12" t="s">
        <v>116</v>
      </c>
      <c r="F578" s="22">
        <f>2700-350+6476.5-200+1040</f>
        <v>9666.5</v>
      </c>
      <c r="G578" s="22">
        <f>2700-350+6476.5-200+1040</f>
        <v>9666.5</v>
      </c>
      <c r="H578" s="28">
        <f t="shared" si="12"/>
        <v>100</v>
      </c>
    </row>
    <row r="579" spans="1:8" ht="31.2" outlineLevel="2">
      <c r="A579" s="11" t="s">
        <v>185</v>
      </c>
      <c r="B579" s="12" t="s">
        <v>56</v>
      </c>
      <c r="C579" s="12"/>
      <c r="D579" s="12"/>
      <c r="E579" s="12"/>
      <c r="F579" s="22">
        <f>F580+F582+F584+F586</f>
        <v>4311.5</v>
      </c>
      <c r="G579" s="22">
        <f>G580+G582+G584+G586</f>
        <v>4273.7530999999999</v>
      </c>
      <c r="H579" s="28">
        <f t="shared" si="12"/>
        <v>99.124506552244</v>
      </c>
    </row>
    <row r="580" spans="1:8" ht="31.2" outlineLevel="3">
      <c r="A580" s="11" t="s">
        <v>187</v>
      </c>
      <c r="B580" s="12" t="s">
        <v>57</v>
      </c>
      <c r="C580" s="12"/>
      <c r="D580" s="12"/>
      <c r="E580" s="12"/>
      <c r="F580" s="22">
        <f>F581</f>
        <v>2067.1999999999998</v>
      </c>
      <c r="G580" s="22">
        <f>G581</f>
        <v>2060.4209700000001</v>
      </c>
      <c r="H580" s="28">
        <f t="shared" si="12"/>
        <v>99.672067047213645</v>
      </c>
    </row>
    <row r="581" spans="1:8" ht="93.6" outlineLevel="4">
      <c r="A581" s="11" t="s">
        <v>189</v>
      </c>
      <c r="B581" s="12" t="s">
        <v>57</v>
      </c>
      <c r="C581" s="12" t="s">
        <v>190</v>
      </c>
      <c r="D581" s="12" t="s">
        <v>417</v>
      </c>
      <c r="E581" s="12" t="s">
        <v>91</v>
      </c>
      <c r="F581" s="22">
        <v>2067.1999999999998</v>
      </c>
      <c r="G581" s="28">
        <v>2060.4209700000001</v>
      </c>
      <c r="H581" s="28">
        <f t="shared" si="12"/>
        <v>99.672067047213645</v>
      </c>
    </row>
    <row r="582" spans="1:8" ht="31.2" outlineLevel="3">
      <c r="A582" s="11" t="s">
        <v>191</v>
      </c>
      <c r="B582" s="12" t="s">
        <v>58</v>
      </c>
      <c r="C582" s="12"/>
      <c r="D582" s="12"/>
      <c r="E582" s="12"/>
      <c r="F582" s="22">
        <f>F583</f>
        <v>25.9</v>
      </c>
      <c r="G582" s="22">
        <f>G583</f>
        <v>25.9</v>
      </c>
      <c r="H582" s="28">
        <f t="shared" si="12"/>
        <v>100</v>
      </c>
    </row>
    <row r="583" spans="1:8" ht="31.2" outlineLevel="4">
      <c r="A583" s="11" t="s">
        <v>105</v>
      </c>
      <c r="B583" s="12" t="s">
        <v>58</v>
      </c>
      <c r="C583" s="12" t="s">
        <v>106</v>
      </c>
      <c r="D583" s="12" t="s">
        <v>417</v>
      </c>
      <c r="E583" s="12" t="s">
        <v>91</v>
      </c>
      <c r="F583" s="22">
        <v>25.9</v>
      </c>
      <c r="G583" s="22">
        <v>25.9</v>
      </c>
      <c r="H583" s="28">
        <f t="shared" si="12"/>
        <v>100</v>
      </c>
    </row>
    <row r="584" spans="1:8" ht="31.2" outlineLevel="3">
      <c r="A584" s="11" t="s">
        <v>59</v>
      </c>
      <c r="B584" s="12" t="s">
        <v>60</v>
      </c>
      <c r="C584" s="12"/>
      <c r="D584" s="12"/>
      <c r="E584" s="12"/>
      <c r="F584" s="22">
        <f>F585</f>
        <v>12</v>
      </c>
      <c r="G584" s="22">
        <f>G585</f>
        <v>12</v>
      </c>
      <c r="H584" s="28">
        <f t="shared" si="12"/>
        <v>100</v>
      </c>
    </row>
    <row r="585" spans="1:8" ht="31.2" outlineLevel="4">
      <c r="A585" s="11" t="s">
        <v>161</v>
      </c>
      <c r="B585" s="12" t="s">
        <v>60</v>
      </c>
      <c r="C585" s="12" t="s">
        <v>162</v>
      </c>
      <c r="D585" s="12" t="s">
        <v>163</v>
      </c>
      <c r="E585" s="12" t="s">
        <v>154</v>
      </c>
      <c r="F585" s="22">
        <v>12</v>
      </c>
      <c r="G585" s="22">
        <v>12</v>
      </c>
      <c r="H585" s="28">
        <f t="shared" si="12"/>
        <v>100</v>
      </c>
    </row>
    <row r="586" spans="1:8" ht="31.2" outlineLevel="3">
      <c r="A586" s="11" t="s">
        <v>276</v>
      </c>
      <c r="B586" s="12" t="s">
        <v>61</v>
      </c>
      <c r="C586" s="12"/>
      <c r="D586" s="12"/>
      <c r="E586" s="12"/>
      <c r="F586" s="22">
        <f>F587+F588</f>
        <v>2206.4000000000005</v>
      </c>
      <c r="G586" s="22">
        <f>G587+G588</f>
        <v>2175.4321300000001</v>
      </c>
      <c r="H586" s="28">
        <f t="shared" si="12"/>
        <v>98.596452592458277</v>
      </c>
    </row>
    <row r="587" spans="1:8" ht="93.6" outlineLevel="4">
      <c r="A587" s="11" t="s">
        <v>189</v>
      </c>
      <c r="B587" s="12" t="s">
        <v>61</v>
      </c>
      <c r="C587" s="12" t="s">
        <v>190</v>
      </c>
      <c r="D587" s="12" t="s">
        <v>250</v>
      </c>
      <c r="E587" s="12" t="s">
        <v>127</v>
      </c>
      <c r="F587" s="22">
        <f>2019.4+12.63+3.81435</f>
        <v>2035.8443500000003</v>
      </c>
      <c r="G587" s="28">
        <v>2027.3139000000001</v>
      </c>
      <c r="H587" s="28">
        <f t="shared" ref="H587:H605" si="13">G587/F587*100</f>
        <v>99.580987122124526</v>
      </c>
    </row>
    <row r="588" spans="1:8" ht="31.2" outlineLevel="4">
      <c r="A588" s="11" t="s">
        <v>105</v>
      </c>
      <c r="B588" s="12" t="s">
        <v>61</v>
      </c>
      <c r="C588" s="12" t="s">
        <v>106</v>
      </c>
      <c r="D588" s="12" t="s">
        <v>250</v>
      </c>
      <c r="E588" s="12" t="s">
        <v>127</v>
      </c>
      <c r="F588" s="22">
        <f>187-16.44435</f>
        <v>170.55565000000001</v>
      </c>
      <c r="G588" s="28">
        <v>148.11823000000001</v>
      </c>
      <c r="H588" s="28">
        <f t="shared" si="13"/>
        <v>86.844516731049367</v>
      </c>
    </row>
    <row r="589" spans="1:8" ht="31.2">
      <c r="A589" s="9" t="s">
        <v>62</v>
      </c>
      <c r="B589" s="10" t="s">
        <v>63</v>
      </c>
      <c r="C589" s="10"/>
      <c r="D589" s="10"/>
      <c r="E589" s="10"/>
      <c r="F589" s="23">
        <f>F590</f>
        <v>6468.1399999999994</v>
      </c>
      <c r="G589" s="23">
        <f>G590</f>
        <v>5969.7461700000003</v>
      </c>
      <c r="H589" s="29">
        <f t="shared" si="13"/>
        <v>92.294634469878517</v>
      </c>
    </row>
    <row r="590" spans="1:8">
      <c r="A590" s="18" t="s">
        <v>11</v>
      </c>
      <c r="B590" s="14" t="s">
        <v>12</v>
      </c>
      <c r="C590" s="14"/>
      <c r="D590" s="14"/>
      <c r="E590" s="14"/>
      <c r="F590" s="24">
        <f>F591+F593+F597+F601+F603+F599</f>
        <v>6468.1399999999994</v>
      </c>
      <c r="G590" s="24">
        <f>G591+G593+G597+G601+G603+G599</f>
        <v>5969.7461700000003</v>
      </c>
      <c r="H590" s="30">
        <f t="shared" si="13"/>
        <v>92.294634469878517</v>
      </c>
    </row>
    <row r="591" spans="1:8" ht="31.2" outlineLevel="3">
      <c r="A591" s="11" t="s">
        <v>187</v>
      </c>
      <c r="B591" s="12" t="s">
        <v>64</v>
      </c>
      <c r="C591" s="12"/>
      <c r="D591" s="12"/>
      <c r="E591" s="12"/>
      <c r="F591" s="22">
        <f>F592</f>
        <v>1755.6999999999998</v>
      </c>
      <c r="G591" s="22">
        <f>G592</f>
        <v>1751.9262699999999</v>
      </c>
      <c r="H591" s="28">
        <f t="shared" si="13"/>
        <v>99.785058381272435</v>
      </c>
    </row>
    <row r="592" spans="1:8" ht="93.6" outlineLevel="4">
      <c r="A592" s="11" t="s">
        <v>189</v>
      </c>
      <c r="B592" s="12" t="s">
        <v>64</v>
      </c>
      <c r="C592" s="12" t="s">
        <v>190</v>
      </c>
      <c r="D592" s="12" t="s">
        <v>116</v>
      </c>
      <c r="E592" s="12" t="s">
        <v>154</v>
      </c>
      <c r="F592" s="22">
        <f>2061.7-306</f>
        <v>1755.6999999999998</v>
      </c>
      <c r="G592" s="28">
        <v>1751.9262699999999</v>
      </c>
      <c r="H592" s="28">
        <f t="shared" si="13"/>
        <v>99.785058381272435</v>
      </c>
    </row>
    <row r="593" spans="1:8" ht="31.2" outlineLevel="3">
      <c r="A593" s="11" t="s">
        <v>191</v>
      </c>
      <c r="B593" s="12" t="s">
        <v>65</v>
      </c>
      <c r="C593" s="12"/>
      <c r="D593" s="12"/>
      <c r="E593" s="12"/>
      <c r="F593" s="22">
        <f>F594+F595+F596</f>
        <v>607.20000000000005</v>
      </c>
      <c r="G593" s="22">
        <f>G594+G595+G596</f>
        <v>470.86801000000003</v>
      </c>
      <c r="H593" s="28">
        <f t="shared" si="13"/>
        <v>77.547432476943342</v>
      </c>
    </row>
    <row r="594" spans="1:8" ht="93.6" outlineLevel="4">
      <c r="A594" s="11" t="s">
        <v>189</v>
      </c>
      <c r="B594" s="12" t="s">
        <v>65</v>
      </c>
      <c r="C594" s="12" t="s">
        <v>190</v>
      </c>
      <c r="D594" s="12" t="s">
        <v>116</v>
      </c>
      <c r="E594" s="12" t="s">
        <v>154</v>
      </c>
      <c r="F594" s="22">
        <v>8</v>
      </c>
      <c r="G594" s="28">
        <v>0</v>
      </c>
      <c r="H594" s="28">
        <f t="shared" si="13"/>
        <v>0</v>
      </c>
    </row>
    <row r="595" spans="1:8" ht="31.2" outlineLevel="4">
      <c r="A595" s="11" t="s">
        <v>105</v>
      </c>
      <c r="B595" s="12" t="s">
        <v>65</v>
      </c>
      <c r="C595" s="12" t="s">
        <v>106</v>
      </c>
      <c r="D595" s="12" t="s">
        <v>116</v>
      </c>
      <c r="E595" s="12" t="s">
        <v>154</v>
      </c>
      <c r="F595" s="22">
        <f>604.2-10</f>
        <v>594.20000000000005</v>
      </c>
      <c r="G595" s="28">
        <v>469.61801000000003</v>
      </c>
      <c r="H595" s="28">
        <f t="shared" si="13"/>
        <v>79.03366038370919</v>
      </c>
    </row>
    <row r="596" spans="1:8" outlineLevel="4">
      <c r="A596" s="11" t="s">
        <v>168</v>
      </c>
      <c r="B596" s="12" t="s">
        <v>65</v>
      </c>
      <c r="C596" s="12" t="s">
        <v>169</v>
      </c>
      <c r="D596" s="12" t="s">
        <v>116</v>
      </c>
      <c r="E596" s="12" t="s">
        <v>154</v>
      </c>
      <c r="F596" s="22">
        <v>5</v>
      </c>
      <c r="G596" s="28">
        <v>1.25</v>
      </c>
      <c r="H596" s="28">
        <f t="shared" si="13"/>
        <v>25</v>
      </c>
    </row>
    <row r="597" spans="1:8" ht="31.2" outlineLevel="3">
      <c r="A597" s="11" t="s">
        <v>66</v>
      </c>
      <c r="B597" s="12" t="s">
        <v>67</v>
      </c>
      <c r="C597" s="12"/>
      <c r="D597" s="12"/>
      <c r="E597" s="12"/>
      <c r="F597" s="22">
        <f>F598</f>
        <v>357.8</v>
      </c>
      <c r="G597" s="22">
        <f>G598</f>
        <v>0</v>
      </c>
      <c r="H597" s="28">
        <f t="shared" si="13"/>
        <v>0</v>
      </c>
    </row>
    <row r="598" spans="1:8" outlineLevel="4">
      <c r="A598" s="11" t="s">
        <v>168</v>
      </c>
      <c r="B598" s="12" t="s">
        <v>67</v>
      </c>
      <c r="C598" s="12" t="s">
        <v>169</v>
      </c>
      <c r="D598" s="12" t="s">
        <v>116</v>
      </c>
      <c r="E598" s="12" t="s">
        <v>228</v>
      </c>
      <c r="F598" s="22">
        <f>3000-2332-30-280.2</f>
        <v>357.8</v>
      </c>
      <c r="G598" s="28">
        <v>0</v>
      </c>
      <c r="H598" s="28">
        <f t="shared" si="13"/>
        <v>0</v>
      </c>
    </row>
    <row r="599" spans="1:8" ht="31.2" outlineLevel="4">
      <c r="A599" s="19" t="s">
        <v>616</v>
      </c>
      <c r="B599" s="12" t="s">
        <v>615</v>
      </c>
      <c r="C599" s="12"/>
      <c r="D599" s="12"/>
      <c r="E599" s="12"/>
      <c r="F599" s="22">
        <f>F600</f>
        <v>571.94000000000005</v>
      </c>
      <c r="G599" s="22">
        <f>G600</f>
        <v>571.94000000000005</v>
      </c>
      <c r="H599" s="28">
        <f t="shared" si="13"/>
        <v>100</v>
      </c>
    </row>
    <row r="600" spans="1:8" outlineLevel="4">
      <c r="A600" s="19" t="s">
        <v>624</v>
      </c>
      <c r="B600" s="12" t="s">
        <v>615</v>
      </c>
      <c r="C600" s="12" t="s">
        <v>169</v>
      </c>
      <c r="D600" s="12" t="s">
        <v>116</v>
      </c>
      <c r="E600" s="12" t="s">
        <v>250</v>
      </c>
      <c r="F600" s="22">
        <v>571.94000000000005</v>
      </c>
      <c r="G600" s="22">
        <v>571.94000000000005</v>
      </c>
      <c r="H600" s="28">
        <f t="shared" si="13"/>
        <v>100</v>
      </c>
    </row>
    <row r="601" spans="1:8" ht="31.2" outlineLevel="3">
      <c r="A601" s="11" t="s">
        <v>68</v>
      </c>
      <c r="B601" s="12" t="s">
        <v>70</v>
      </c>
      <c r="C601" s="12"/>
      <c r="D601" s="12"/>
      <c r="E601" s="12"/>
      <c r="F601" s="22">
        <f>F602</f>
        <v>1226.0999999999999</v>
      </c>
      <c r="G601" s="22">
        <f>G602</f>
        <v>1225.6118899999999</v>
      </c>
      <c r="H601" s="28">
        <f t="shared" si="13"/>
        <v>99.96019003343936</v>
      </c>
    </row>
    <row r="602" spans="1:8" ht="93.6" outlineLevel="4">
      <c r="A602" s="11" t="s">
        <v>189</v>
      </c>
      <c r="B602" s="12" t="s">
        <v>70</v>
      </c>
      <c r="C602" s="12" t="s">
        <v>190</v>
      </c>
      <c r="D602" s="12" t="s">
        <v>116</v>
      </c>
      <c r="E602" s="12" t="s">
        <v>154</v>
      </c>
      <c r="F602" s="22">
        <f>1226.1</f>
        <v>1226.0999999999999</v>
      </c>
      <c r="G602" s="28">
        <v>1225.6118899999999</v>
      </c>
      <c r="H602" s="28">
        <f t="shared" si="13"/>
        <v>99.96019003343936</v>
      </c>
    </row>
    <row r="603" spans="1:8" ht="31.2" outlineLevel="3">
      <c r="A603" s="11" t="s">
        <v>71</v>
      </c>
      <c r="B603" s="12" t="s">
        <v>72</v>
      </c>
      <c r="C603" s="12"/>
      <c r="D603" s="12"/>
      <c r="E603" s="12"/>
      <c r="F603" s="22">
        <f>F604</f>
        <v>1949.4</v>
      </c>
      <c r="G603" s="22">
        <f>G604</f>
        <v>1949.4</v>
      </c>
      <c r="H603" s="28">
        <f t="shared" si="13"/>
        <v>100</v>
      </c>
    </row>
    <row r="604" spans="1:8" ht="93.6" outlineLevel="4">
      <c r="A604" s="11" t="s">
        <v>189</v>
      </c>
      <c r="B604" s="12" t="s">
        <v>72</v>
      </c>
      <c r="C604" s="12" t="s">
        <v>190</v>
      </c>
      <c r="D604" s="12" t="s">
        <v>116</v>
      </c>
      <c r="E604" s="12" t="s">
        <v>154</v>
      </c>
      <c r="F604" s="22">
        <f>1939.4+10</f>
        <v>1949.4</v>
      </c>
      <c r="G604" s="22">
        <f>1939.4+10</f>
        <v>1949.4</v>
      </c>
      <c r="H604" s="28">
        <f t="shared" si="13"/>
        <v>100</v>
      </c>
    </row>
    <row r="605" spans="1:8">
      <c r="A605" s="5" t="s">
        <v>73</v>
      </c>
      <c r="B605" s="6"/>
      <c r="C605" s="6"/>
      <c r="D605" s="6"/>
      <c r="E605" s="6"/>
      <c r="F605" s="23">
        <f>F7+F11+F26+F36+F49+F56+F87+F156+F183+F223+F289+F300+F333+F337+F358+F377+F481+F490+F523+F555+F589</f>
        <v>2053301.9151000001</v>
      </c>
      <c r="G605" s="23">
        <f>G7+G11+G26+G36+G49+G56+G87+G156+G183+G223+G289+G300+G333+G337+G358+G377+G481+G490+G523+G555+G589</f>
        <v>1927219.5755</v>
      </c>
      <c r="H605" s="29">
        <f t="shared" si="13"/>
        <v>93.859532362348205</v>
      </c>
    </row>
  </sheetData>
  <mergeCells count="4">
    <mergeCell ref="A1:H1"/>
    <mergeCell ref="A2:H2"/>
    <mergeCell ref="A3:H3"/>
    <mergeCell ref="A4:H4"/>
  </mergeCells>
  <phoneticPr fontId="0" type="noConversion"/>
  <printOptions horizontalCentered="1"/>
  <pageMargins left="0.55118110236220474" right="0.35433070866141736" top="0.39370078740157483" bottom="0.31496062992125984" header="0.31496062992125984" footer="0.19685039370078741"/>
  <pageSetup paperSize="9" scale="70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Егай Мария Владимировна</cp:lastModifiedBy>
  <cp:lastPrinted>2017-03-02T11:47:15Z</cp:lastPrinted>
  <dcterms:created xsi:type="dcterms:W3CDTF">2015-11-16T12:43:36Z</dcterms:created>
  <dcterms:modified xsi:type="dcterms:W3CDTF">2017-03-29T13:40:52Z</dcterms:modified>
</cp:coreProperties>
</file>