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68" yWindow="-72" windowWidth="11436" windowHeight="9732"/>
  </bookViews>
  <sheets>
    <sheet name="Документ" sheetId="1" r:id="rId1"/>
  </sheets>
  <definedNames>
    <definedName name="_xlnm.Print_Titles" localSheetId="0">Документ!$7:$7</definedName>
  </definedNames>
  <calcPr calcId="125725" fullCalcOnLoad="1"/>
</workbook>
</file>

<file path=xl/calcChain.xml><?xml version="1.0" encoding="utf-8"?>
<calcChain xmlns="http://schemas.openxmlformats.org/spreadsheetml/2006/main">
  <c r="M798" i="1"/>
  <c r="N797"/>
  <c r="N790"/>
  <c r="N789"/>
  <c r="N788"/>
  <c r="N787"/>
  <c r="N786"/>
  <c r="N785"/>
  <c r="N784"/>
  <c r="N783"/>
  <c r="N782"/>
  <c r="N781"/>
  <c r="N780"/>
  <c r="N779"/>
  <c r="N778"/>
  <c r="N776"/>
  <c r="N775"/>
  <c r="M775"/>
  <c r="M774"/>
  <c r="N774"/>
  <c r="M777"/>
  <c r="N777"/>
  <c r="M784"/>
  <c r="M783"/>
  <c r="M782"/>
  <c r="M781"/>
  <c r="M780"/>
  <c r="M789"/>
  <c r="M788"/>
  <c r="M787"/>
  <c r="M786"/>
  <c r="M796"/>
  <c r="N796"/>
  <c r="N768"/>
  <c r="N767"/>
  <c r="N765"/>
  <c r="N764"/>
  <c r="N762"/>
  <c r="N761"/>
  <c r="N756"/>
  <c r="N755"/>
  <c r="N754"/>
  <c r="N753"/>
  <c r="N752"/>
  <c r="N751"/>
  <c r="N750"/>
  <c r="N749"/>
  <c r="N748"/>
  <c r="N747"/>
  <c r="N746"/>
  <c r="N745"/>
  <c r="N744"/>
  <c r="N738"/>
  <c r="N736"/>
  <c r="N735"/>
  <c r="N734"/>
  <c r="N733"/>
  <c r="M737"/>
  <c r="N737"/>
  <c r="M743"/>
  <c r="N743"/>
  <c r="M761"/>
  <c r="M763"/>
  <c r="N763"/>
  <c r="M733"/>
  <c r="M736"/>
  <c r="M735"/>
  <c r="M745"/>
  <c r="M751"/>
  <c r="M750"/>
  <c r="M749"/>
  <c r="M747"/>
  <c r="M755"/>
  <c r="M753"/>
  <c r="M766"/>
  <c r="N766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7"/>
  <c r="N686"/>
  <c r="N685"/>
  <c r="N684"/>
  <c r="N683"/>
  <c r="N682"/>
  <c r="N681"/>
  <c r="N680"/>
  <c r="N678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3"/>
  <c r="N602"/>
  <c r="M606"/>
  <c r="M604"/>
  <c r="N604"/>
  <c r="M602"/>
  <c r="M612"/>
  <c r="M611"/>
  <c r="M610"/>
  <c r="M608"/>
  <c r="M617"/>
  <c r="M616"/>
  <c r="M615"/>
  <c r="M614"/>
  <c r="M618"/>
  <c r="M622"/>
  <c r="M621"/>
  <c r="M620"/>
  <c r="M623"/>
  <c r="M630"/>
  <c r="M629"/>
  <c r="M628"/>
  <c r="M626"/>
  <c r="M625"/>
  <c r="M635"/>
  <c r="M634"/>
  <c r="M632"/>
  <c r="M640"/>
  <c r="M638"/>
  <c r="M636"/>
  <c r="M646"/>
  <c r="M644"/>
  <c r="M642"/>
  <c r="M641"/>
  <c r="M649"/>
  <c r="M648"/>
  <c r="M651"/>
  <c r="M650"/>
  <c r="M655"/>
  <c r="M653"/>
  <c r="M660"/>
  <c r="M659"/>
  <c r="M658"/>
  <c r="M657"/>
  <c r="M656"/>
  <c r="M665"/>
  <c r="M664"/>
  <c r="M663"/>
  <c r="M662"/>
  <c r="M661"/>
  <c r="M671"/>
  <c r="M670"/>
  <c r="M669"/>
  <c r="M667"/>
  <c r="M677"/>
  <c r="M679"/>
  <c r="N679"/>
  <c r="M681"/>
  <c r="M683"/>
  <c r="M682"/>
  <c r="M687"/>
  <c r="M686"/>
  <c r="M685"/>
  <c r="M684"/>
  <c r="M689"/>
  <c r="M688"/>
  <c r="N688"/>
  <c r="M699"/>
  <c r="M698"/>
  <c r="M697"/>
  <c r="M696"/>
  <c r="M695"/>
  <c r="M694"/>
  <c r="M693"/>
  <c r="M692"/>
  <c r="M704"/>
  <c r="M703"/>
  <c r="M702"/>
  <c r="M701"/>
  <c r="M700"/>
  <c r="M705"/>
  <c r="M711"/>
  <c r="M710"/>
  <c r="M709"/>
  <c r="M708"/>
  <c r="M707"/>
  <c r="M706"/>
  <c r="M713"/>
  <c r="M712"/>
  <c r="M716"/>
  <c r="M715"/>
  <c r="M714"/>
  <c r="M719"/>
  <c r="M718"/>
  <c r="M717"/>
  <c r="M722"/>
  <c r="M721"/>
  <c r="M720"/>
  <c r="M724"/>
  <c r="M723"/>
  <c r="N595"/>
  <c r="N594"/>
  <c r="N593"/>
  <c r="N588"/>
  <c r="N585"/>
  <c r="N584"/>
  <c r="N583"/>
  <c r="N582"/>
  <c r="N581"/>
  <c r="N580"/>
  <c r="N579"/>
  <c r="N578"/>
  <c r="N577"/>
  <c r="N576"/>
  <c r="N575"/>
  <c r="N572"/>
  <c r="N571"/>
  <c r="N570"/>
  <c r="N569"/>
  <c r="N568"/>
  <c r="N567"/>
  <c r="N566"/>
  <c r="N565"/>
  <c r="N563"/>
  <c r="N562"/>
  <c r="N561"/>
  <c r="N560"/>
  <c r="N559"/>
  <c r="N558"/>
  <c r="N557"/>
  <c r="N556"/>
  <c r="N551"/>
  <c r="N545"/>
  <c r="N544"/>
  <c r="N543"/>
  <c r="N542"/>
  <c r="N541"/>
  <c r="N540"/>
  <c r="N537"/>
  <c r="N536"/>
  <c r="N535"/>
  <c r="N534"/>
  <c r="N533"/>
  <c r="M544"/>
  <c r="M550"/>
  <c r="N550"/>
  <c r="M555"/>
  <c r="N555"/>
  <c r="M592"/>
  <c r="N592"/>
  <c r="M536"/>
  <c r="M535"/>
  <c r="M534"/>
  <c r="M533"/>
  <c r="M540"/>
  <c r="M539"/>
  <c r="N539"/>
  <c r="M543"/>
  <c r="M542"/>
  <c r="M562"/>
  <c r="M561"/>
  <c r="M560"/>
  <c r="M559"/>
  <c r="M558"/>
  <c r="M566"/>
  <c r="M565"/>
  <c r="M569"/>
  <c r="M568"/>
  <c r="M567"/>
  <c r="M572"/>
  <c r="M571"/>
  <c r="M570"/>
  <c r="M576"/>
  <c r="M575"/>
  <c r="M579"/>
  <c r="M578"/>
  <c r="M582"/>
  <c r="M581"/>
  <c r="M587"/>
  <c r="N587"/>
  <c r="M594"/>
  <c r="N529"/>
  <c r="N525"/>
  <c r="N519"/>
  <c r="N518"/>
  <c r="N517"/>
  <c r="N516"/>
  <c r="N515"/>
  <c r="N513"/>
  <c r="N512"/>
  <c r="N510"/>
  <c r="N507"/>
  <c r="N505"/>
  <c r="N502"/>
  <c r="N501"/>
  <c r="N500"/>
  <c r="N498"/>
  <c r="M497"/>
  <c r="N497"/>
  <c r="M499"/>
  <c r="N499"/>
  <c r="M501"/>
  <c r="M504"/>
  <c r="N504"/>
  <c r="M506"/>
  <c r="N506"/>
  <c r="M509"/>
  <c r="N509"/>
  <c r="M511"/>
  <c r="N511"/>
  <c r="M514"/>
  <c r="N514"/>
  <c r="M524"/>
  <c r="N524"/>
  <c r="M523"/>
  <c r="N523"/>
  <c r="M528"/>
  <c r="N528"/>
  <c r="M527"/>
  <c r="N527"/>
  <c r="M517"/>
  <c r="M516"/>
  <c r="M519"/>
  <c r="N491"/>
  <c r="N485"/>
  <c r="N484"/>
  <c r="N482"/>
  <c r="N480"/>
  <c r="N479"/>
  <c r="N475"/>
  <c r="N473"/>
  <c r="N472"/>
  <c r="N471"/>
  <c r="N470"/>
  <c r="N469"/>
  <c r="N468"/>
  <c r="N467"/>
  <c r="N465"/>
  <c r="N464"/>
  <c r="N462"/>
  <c r="N461"/>
  <c r="N460"/>
  <c r="N459"/>
  <c r="N458"/>
  <c r="N456"/>
  <c r="N455"/>
  <c r="N454"/>
  <c r="N453"/>
  <c r="N448"/>
  <c r="N446"/>
  <c r="N445"/>
  <c r="M447"/>
  <c r="N447"/>
  <c r="M457"/>
  <c r="N457"/>
  <c r="M461"/>
  <c r="M466"/>
  <c r="N466"/>
  <c r="M474"/>
  <c r="M463"/>
  <c r="N463"/>
  <c r="M479"/>
  <c r="M481"/>
  <c r="N481"/>
  <c r="M483"/>
  <c r="N483"/>
  <c r="M490"/>
  <c r="N490"/>
  <c r="M489"/>
  <c r="N489"/>
  <c r="M446"/>
  <c r="M445"/>
  <c r="M454"/>
  <c r="M453"/>
  <c r="M456"/>
  <c r="M455"/>
  <c r="M459"/>
  <c r="L462"/>
  <c r="M464"/>
  <c r="M470"/>
  <c r="M469"/>
  <c r="M468"/>
  <c r="M472"/>
  <c r="N439"/>
  <c r="N437"/>
  <c r="N436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5"/>
  <c r="N404"/>
  <c r="N403"/>
  <c r="N401"/>
  <c r="N399"/>
  <c r="N393"/>
  <c r="N392"/>
  <c r="N391"/>
  <c r="N390"/>
  <c r="N389"/>
  <c r="N388"/>
  <c r="N387"/>
  <c r="N383"/>
  <c r="N382"/>
  <c r="N381"/>
  <c r="N380"/>
  <c r="N379"/>
  <c r="N376"/>
  <c r="N374"/>
  <c r="N373"/>
  <c r="N372"/>
  <c r="N371"/>
  <c r="N369"/>
  <c r="N366"/>
  <c r="M427"/>
  <c r="M426"/>
  <c r="M428"/>
  <c r="M365"/>
  <c r="N365"/>
  <c r="M368"/>
  <c r="N368"/>
  <c r="M370"/>
  <c r="N370"/>
  <c r="M375"/>
  <c r="N375"/>
  <c r="M378"/>
  <c r="N378"/>
  <c r="M382"/>
  <c r="M381"/>
  <c r="M386"/>
  <c r="N386"/>
  <c r="M398"/>
  <c r="N398"/>
  <c r="M400"/>
  <c r="N400"/>
  <c r="M402"/>
  <c r="N402"/>
  <c r="M410"/>
  <c r="M409"/>
  <c r="M418"/>
  <c r="M417"/>
  <c r="M423"/>
  <c r="M438"/>
  <c r="N438"/>
  <c r="M371"/>
  <c r="M373"/>
  <c r="M389"/>
  <c r="M388"/>
  <c r="M391"/>
  <c r="M390"/>
  <c r="M393"/>
  <c r="M392"/>
  <c r="M411"/>
  <c r="M413"/>
  <c r="M416"/>
  <c r="M415"/>
  <c r="M419"/>
  <c r="M422"/>
  <c r="M421"/>
  <c r="M424"/>
  <c r="M430"/>
  <c r="M436"/>
  <c r="N358"/>
  <c r="N356"/>
  <c r="N354"/>
  <c r="N352"/>
  <c r="N351"/>
  <c r="N346"/>
  <c r="N345"/>
  <c r="N343"/>
  <c r="N342"/>
  <c r="N341"/>
  <c r="N339"/>
  <c r="N337"/>
  <c r="N335"/>
  <c r="N330"/>
  <c r="N329"/>
  <c r="N328"/>
  <c r="N327"/>
  <c r="N324"/>
  <c r="N322"/>
  <c r="N320"/>
  <c r="N319"/>
  <c r="N318"/>
  <c r="N316"/>
  <c r="N312"/>
  <c r="N306"/>
  <c r="N303"/>
  <c r="N302"/>
  <c r="N301"/>
  <c r="N300"/>
  <c r="N299"/>
  <c r="N297"/>
  <c r="N295"/>
  <c r="N291"/>
  <c r="N288"/>
  <c r="N285"/>
  <c r="N284"/>
  <c r="N283"/>
  <c r="N278"/>
  <c r="N277"/>
  <c r="N276"/>
  <c r="N274"/>
  <c r="N272"/>
  <c r="N271"/>
  <c r="N266"/>
  <c r="N265"/>
  <c r="N264"/>
  <c r="N263"/>
  <c r="N262"/>
  <c r="N261"/>
  <c r="N260"/>
  <c r="N259"/>
  <c r="N258"/>
  <c r="N257"/>
  <c r="N256"/>
  <c r="N255"/>
  <c r="N254"/>
  <c r="N253"/>
  <c r="N252"/>
  <c r="N251"/>
  <c r="N249"/>
  <c r="N247"/>
  <c r="N246"/>
  <c r="N245"/>
  <c r="N243"/>
  <c r="N239"/>
  <c r="N238"/>
  <c r="N237"/>
  <c r="N236"/>
  <c r="N235"/>
  <c r="N234"/>
  <c r="N233"/>
  <c r="N230"/>
  <c r="N229"/>
  <c r="N228"/>
  <c r="N226"/>
  <c r="N221"/>
  <c r="N220"/>
  <c r="N219"/>
  <c r="N213"/>
  <c r="N210"/>
  <c r="N209"/>
  <c r="N208"/>
  <c r="N206"/>
  <c r="N203"/>
  <c r="N200"/>
  <c r="N199"/>
  <c r="N198"/>
  <c r="N193"/>
  <c r="N192"/>
  <c r="N191"/>
  <c r="N190"/>
  <c r="N189"/>
  <c r="N188"/>
  <c r="M189"/>
  <c r="M188"/>
  <c r="M197"/>
  <c r="N197"/>
  <c r="M202"/>
  <c r="N202"/>
  <c r="M201"/>
  <c r="N201"/>
  <c r="M205"/>
  <c r="N205"/>
  <c r="M212"/>
  <c r="N212"/>
  <c r="M211"/>
  <c r="N211"/>
  <c r="M191"/>
  <c r="M190"/>
  <c r="M192"/>
  <c r="M209"/>
  <c r="M208"/>
  <c r="M218"/>
  <c r="N218"/>
  <c r="M225"/>
  <c r="N225"/>
  <c r="M232"/>
  <c r="N232"/>
  <c r="M242"/>
  <c r="N242"/>
  <c r="M250"/>
  <c r="N250"/>
  <c r="M227"/>
  <c r="N227"/>
  <c r="M230"/>
  <c r="M229"/>
  <c r="M235"/>
  <c r="M234"/>
  <c r="M244"/>
  <c r="N244"/>
  <c r="M248"/>
  <c r="N248"/>
  <c r="M253"/>
  <c r="M252"/>
  <c r="M257"/>
  <c r="M256"/>
  <c r="M255"/>
  <c r="M254"/>
  <c r="M261"/>
  <c r="M260"/>
  <c r="M259"/>
  <c r="M258"/>
  <c r="M265"/>
  <c r="M264"/>
  <c r="M263"/>
  <c r="M273"/>
  <c r="N273"/>
  <c r="M275"/>
  <c r="N275"/>
  <c r="M271"/>
  <c r="M277"/>
  <c r="M282"/>
  <c r="N282"/>
  <c r="M281"/>
  <c r="N281"/>
  <c r="M287"/>
  <c r="N287"/>
  <c r="M290"/>
  <c r="N290"/>
  <c r="M294"/>
  <c r="N294"/>
  <c r="M296"/>
  <c r="N296"/>
  <c r="M305"/>
  <c r="N305"/>
  <c r="M303"/>
  <c r="M302"/>
  <c r="M301"/>
  <c r="M300"/>
  <c r="M299"/>
  <c r="M284"/>
  <c r="M321"/>
  <c r="N321"/>
  <c r="M323"/>
  <c r="N323"/>
  <c r="M326"/>
  <c r="N326"/>
  <c r="M315"/>
  <c r="N315"/>
  <c r="M311"/>
  <c r="N311"/>
  <c r="M317"/>
  <c r="N317"/>
  <c r="M319"/>
  <c r="M329"/>
  <c r="M330"/>
  <c r="M334"/>
  <c r="N334"/>
  <c r="M336"/>
  <c r="N336"/>
  <c r="M338"/>
  <c r="N338"/>
  <c r="M340"/>
  <c r="N340"/>
  <c r="M344"/>
  <c r="N344"/>
  <c r="M351"/>
  <c r="M353"/>
  <c r="N353"/>
  <c r="M355"/>
  <c r="N355"/>
  <c r="M357"/>
  <c r="N357"/>
  <c r="N184"/>
  <c r="N183"/>
  <c r="N182"/>
  <c r="N180"/>
  <c r="N179"/>
  <c r="N178"/>
  <c r="N176"/>
  <c r="M175"/>
  <c r="N175"/>
  <c r="M177"/>
  <c r="N177"/>
  <c r="M181"/>
  <c r="N181"/>
  <c r="M183"/>
  <c r="M184"/>
  <c r="N169"/>
  <c r="N168"/>
  <c r="N167"/>
  <c r="N166"/>
  <c r="N165"/>
  <c r="N164"/>
  <c r="N163"/>
  <c r="M168"/>
  <c r="M167"/>
  <c r="M166"/>
  <c r="M165"/>
  <c r="M164"/>
  <c r="M163"/>
  <c r="N162"/>
  <c r="N156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M161"/>
  <c r="N161"/>
  <c r="M160"/>
  <c r="M159"/>
  <c r="M155"/>
  <c r="N155"/>
  <c r="M146"/>
  <c r="M145"/>
  <c r="M144"/>
  <c r="M143"/>
  <c r="M141"/>
  <c r="M139"/>
  <c r="M138"/>
  <c r="M136"/>
  <c r="M134"/>
  <c r="M131"/>
  <c r="M124"/>
  <c r="M128"/>
  <c r="M125"/>
  <c r="M119"/>
  <c r="N119"/>
  <c r="M126"/>
  <c r="M127"/>
  <c r="M129"/>
  <c r="M130"/>
  <c r="M132"/>
  <c r="M133"/>
  <c r="M135"/>
  <c r="M137"/>
  <c r="M140"/>
  <c r="M142"/>
  <c r="M147"/>
  <c r="N112"/>
  <c r="N111"/>
  <c r="N110"/>
  <c r="N109"/>
  <c r="N108"/>
  <c r="N107"/>
  <c r="N106"/>
  <c r="N105"/>
  <c r="N104"/>
  <c r="N103"/>
  <c r="N102"/>
  <c r="N101"/>
  <c r="N100"/>
  <c r="N99"/>
  <c r="M108"/>
  <c r="M107"/>
  <c r="M106"/>
  <c r="M105"/>
  <c r="M104"/>
  <c r="M103"/>
  <c r="M102"/>
  <c r="M101"/>
  <c r="M100"/>
  <c r="M99"/>
  <c r="M109"/>
  <c r="M111"/>
  <c r="N98"/>
  <c r="N96"/>
  <c r="N95"/>
  <c r="N94"/>
  <c r="M93"/>
  <c r="N93"/>
  <c r="M97"/>
  <c r="N97"/>
  <c r="N87"/>
  <c r="N86"/>
  <c r="N85"/>
  <c r="N84"/>
  <c r="N83"/>
  <c r="N82"/>
  <c r="N81"/>
  <c r="M86"/>
  <c r="M85"/>
  <c r="M84"/>
  <c r="M83"/>
  <c r="M82"/>
  <c r="M81"/>
  <c r="N42"/>
  <c r="N41"/>
  <c r="M41"/>
  <c r="M43"/>
  <c r="N43"/>
  <c r="N45"/>
  <c r="N44"/>
  <c r="N50"/>
  <c r="N49"/>
  <c r="M48"/>
  <c r="N48"/>
  <c r="N54"/>
  <c r="N53"/>
  <c r="N51"/>
  <c r="M52"/>
  <c r="N52"/>
  <c r="N59"/>
  <c r="N58"/>
  <c r="N57"/>
  <c r="M56"/>
  <c r="N56"/>
  <c r="M55"/>
  <c r="N55"/>
  <c r="M58"/>
  <c r="N64"/>
  <c r="N63"/>
  <c r="N62"/>
  <c r="M61"/>
  <c r="N61"/>
  <c r="N67"/>
  <c r="N66"/>
  <c r="N65"/>
  <c r="M65"/>
  <c r="N69"/>
  <c r="M68"/>
  <c r="N68"/>
  <c r="N71"/>
  <c r="N70"/>
  <c r="M70"/>
  <c r="N76"/>
  <c r="N75"/>
  <c r="N74"/>
  <c r="M74"/>
  <c r="M73"/>
  <c r="N73"/>
  <c r="N80"/>
  <c r="M79"/>
  <c r="N79"/>
  <c r="L40"/>
  <c r="L41"/>
  <c r="N36"/>
  <c r="N35"/>
  <c r="N34"/>
  <c r="N33"/>
  <c r="N32"/>
  <c r="N31"/>
  <c r="M35"/>
  <c r="M34"/>
  <c r="M33"/>
  <c r="M32"/>
  <c r="M31"/>
  <c r="N30"/>
  <c r="N29"/>
  <c r="N27"/>
  <c r="N26"/>
  <c r="N23"/>
  <c r="N22"/>
  <c r="N21"/>
  <c r="M20"/>
  <c r="N20"/>
  <c r="M22"/>
  <c r="M25"/>
  <c r="N25"/>
  <c r="M28"/>
  <c r="N28"/>
  <c r="N15"/>
  <c r="M14"/>
  <c r="N14"/>
  <c r="L711"/>
  <c r="L710"/>
  <c r="L704"/>
  <c r="L703"/>
  <c r="L690"/>
  <c r="L689"/>
  <c r="L683"/>
  <c r="L659"/>
  <c r="L649"/>
  <c r="L641"/>
  <c r="L623"/>
  <c r="L625"/>
  <c r="L613"/>
  <c r="L611"/>
  <c r="L485"/>
  <c r="L484"/>
  <c r="L475"/>
  <c r="L448"/>
  <c r="L98"/>
  <c r="L94"/>
  <c r="L147"/>
  <c r="L142"/>
  <c r="L137"/>
  <c r="L135"/>
  <c r="L133"/>
  <c r="L132"/>
  <c r="L130"/>
  <c r="L129"/>
  <c r="L50"/>
  <c r="L62"/>
  <c r="L126"/>
  <c r="L121"/>
  <c r="L106"/>
  <c r="L76"/>
  <c r="L75"/>
  <c r="L63"/>
  <c r="L57"/>
  <c r="L54"/>
  <c r="L53"/>
  <c r="L49"/>
  <c r="L21"/>
  <c r="L64"/>
  <c r="L114"/>
  <c r="L111"/>
  <c r="L762"/>
  <c r="L345"/>
  <c r="L335"/>
  <c r="L334"/>
  <c r="L569"/>
  <c r="L283"/>
  <c r="L282"/>
  <c r="L281"/>
  <c r="L291"/>
  <c r="L290"/>
  <c r="L289"/>
  <c r="L328"/>
  <c r="L327"/>
  <c r="L318"/>
  <c r="L51"/>
  <c r="L45"/>
  <c r="L44"/>
  <c r="L30"/>
  <c r="L29"/>
  <c r="L27"/>
  <c r="L26"/>
  <c r="L582"/>
  <c r="L557"/>
  <c r="L556"/>
  <c r="L545"/>
  <c r="L337"/>
  <c r="L253"/>
  <c r="L288"/>
  <c r="L779"/>
  <c r="L778"/>
  <c r="L776"/>
  <c r="L738"/>
  <c r="L324"/>
  <c r="L284"/>
  <c r="L184"/>
  <c r="L179"/>
  <c r="L341"/>
  <c r="L343"/>
  <c r="L691"/>
  <c r="L687"/>
  <c r="L686"/>
  <c r="L685"/>
  <c r="L680"/>
  <c r="L658"/>
  <c r="L657"/>
  <c r="L656"/>
  <c r="L605"/>
  <c r="L69"/>
  <c r="L66"/>
  <c r="L61"/>
  <c r="L23"/>
  <c r="L446"/>
  <c r="L228"/>
  <c r="L227"/>
  <c r="L226"/>
  <c r="L722"/>
  <c r="L721"/>
  <c r="L719"/>
  <c r="L718"/>
  <c r="L716"/>
  <c r="L715"/>
  <c r="L213"/>
  <c r="L212"/>
  <c r="L211"/>
  <c r="L206"/>
  <c r="L203"/>
  <c r="L199"/>
  <c r="L198"/>
  <c r="L635"/>
  <c r="L342"/>
  <c r="L340"/>
  <c r="L276"/>
  <c r="L277"/>
  <c r="L182"/>
  <c r="L181"/>
  <c r="L744"/>
  <c r="L743"/>
  <c r="L572"/>
  <c r="L330"/>
  <c r="L329"/>
  <c r="L316"/>
  <c r="L257"/>
  <c r="L256"/>
  <c r="L255"/>
  <c r="L254"/>
  <c r="L339"/>
  <c r="L297"/>
  <c r="L274"/>
  <c r="L221"/>
  <c r="L219"/>
  <c r="L251"/>
  <c r="L245"/>
  <c r="L393"/>
  <c r="L391"/>
  <c r="L382"/>
  <c r="L381"/>
  <c r="L366"/>
  <c r="L365"/>
  <c r="L364"/>
  <c r="L200"/>
  <c r="L681"/>
  <c r="L525"/>
  <c r="L507"/>
  <c r="L498"/>
  <c r="L322"/>
  <c r="L192"/>
  <c r="L191"/>
  <c r="L141"/>
  <c r="L140"/>
  <c r="L660"/>
  <c r="L358"/>
  <c r="L357"/>
  <c r="L352"/>
  <c r="L356"/>
  <c r="L295"/>
  <c r="L702"/>
  <c r="L701"/>
  <c r="L700"/>
  <c r="L699"/>
  <c r="L698"/>
  <c r="L239"/>
  <c r="L670"/>
  <c r="L629"/>
  <c r="L419"/>
  <c r="L149"/>
  <c r="L127"/>
  <c r="L74"/>
  <c r="L73"/>
  <c r="L72"/>
  <c r="L271"/>
  <c r="L389"/>
  <c r="L109"/>
  <c r="L736"/>
  <c r="L655"/>
  <c r="L543"/>
  <c r="L542"/>
  <c r="L252"/>
  <c r="L247"/>
  <c r="L249"/>
  <c r="L235"/>
  <c r="L416"/>
  <c r="L644"/>
  <c r="L638"/>
  <c r="L176"/>
  <c r="L790"/>
  <c r="L797"/>
  <c r="L515"/>
  <c r="L588"/>
  <c r="L751"/>
  <c r="L747"/>
  <c r="L472"/>
  <c r="L379"/>
  <c r="L378"/>
  <c r="L377"/>
  <c r="L168"/>
  <c r="L167"/>
  <c r="L166"/>
  <c r="L165"/>
  <c r="L164"/>
  <c r="L163"/>
  <c r="L162"/>
  <c r="L156"/>
  <c r="L354"/>
  <c r="L470"/>
  <c r="L456"/>
  <c r="L455"/>
  <c r="L454"/>
  <c r="L242"/>
  <c r="L519"/>
  <c r="L517"/>
  <c r="L516"/>
  <c r="L230"/>
  <c r="L765"/>
  <c r="L764"/>
  <c r="L405"/>
  <c r="L401"/>
  <c r="L229"/>
  <c r="L323"/>
  <c r="L404"/>
  <c r="L392"/>
  <c r="L424"/>
  <c r="L423"/>
  <c r="L411"/>
  <c r="L428"/>
  <c r="L422"/>
  <c r="L421"/>
  <c r="L418"/>
  <c r="L417"/>
  <c r="L388"/>
  <c r="L386"/>
  <c r="L294"/>
  <c r="L104"/>
  <c r="L305"/>
  <c r="L304"/>
  <c r="L303"/>
  <c r="L301"/>
  <c r="L97"/>
  <c r="L93"/>
  <c r="L390"/>
  <c r="L105"/>
  <c r="L371"/>
  <c r="L373"/>
  <c r="L375"/>
  <c r="L370"/>
  <c r="L524"/>
  <c r="L523"/>
  <c r="L522"/>
  <c r="L469"/>
  <c r="L445"/>
  <c r="L320"/>
  <c r="L319"/>
  <c r="L68"/>
  <c r="L585"/>
  <c r="L775"/>
  <c r="L774"/>
  <c r="L777"/>
  <c r="L784"/>
  <c r="L783"/>
  <c r="L782"/>
  <c r="L781"/>
  <c r="L780"/>
  <c r="L789"/>
  <c r="L788"/>
  <c r="L787"/>
  <c r="L786"/>
  <c r="L733"/>
  <c r="L735"/>
  <c r="L737"/>
  <c r="L732"/>
  <c r="L731"/>
  <c r="L730"/>
  <c r="L729"/>
  <c r="L745"/>
  <c r="L753"/>
  <c r="L755"/>
  <c r="L761"/>
  <c r="L763"/>
  <c r="L766"/>
  <c r="L602"/>
  <c r="L604"/>
  <c r="L606"/>
  <c r="L608"/>
  <c r="L610"/>
  <c r="L612"/>
  <c r="L618"/>
  <c r="L617"/>
  <c r="L616"/>
  <c r="L615"/>
  <c r="L626"/>
  <c r="L630"/>
  <c r="L632"/>
  <c r="L634"/>
  <c r="L636"/>
  <c r="L642"/>
  <c r="L646"/>
  <c r="L648"/>
  <c r="L651"/>
  <c r="L653"/>
  <c r="L665"/>
  <c r="L667"/>
  <c r="L669"/>
  <c r="L671"/>
  <c r="L677"/>
  <c r="L679"/>
  <c r="L682"/>
  <c r="L684"/>
  <c r="L697"/>
  <c r="L696"/>
  <c r="L695"/>
  <c r="L694"/>
  <c r="L693"/>
  <c r="L709"/>
  <c r="L708"/>
  <c r="L707"/>
  <c r="L714"/>
  <c r="L720"/>
  <c r="L724"/>
  <c r="L723"/>
  <c r="L536"/>
  <c r="L535"/>
  <c r="L534"/>
  <c r="L533"/>
  <c r="L540"/>
  <c r="L550"/>
  <c r="L549"/>
  <c r="L548"/>
  <c r="L547"/>
  <c r="L546"/>
  <c r="L555"/>
  <c r="L554"/>
  <c r="L553"/>
  <c r="L552"/>
  <c r="L562"/>
  <c r="L561"/>
  <c r="L560"/>
  <c r="L559"/>
  <c r="L558"/>
  <c r="L568"/>
  <c r="L567"/>
  <c r="L571"/>
  <c r="L570"/>
  <c r="L576"/>
  <c r="L575"/>
  <c r="L579"/>
  <c r="L581"/>
  <c r="L578"/>
  <c r="L584"/>
  <c r="L583"/>
  <c r="L592"/>
  <c r="L591"/>
  <c r="L590"/>
  <c r="L589"/>
  <c r="L594"/>
  <c r="L497"/>
  <c r="L499"/>
  <c r="L496"/>
  <c r="L501"/>
  <c r="L504"/>
  <c r="L506"/>
  <c r="L503"/>
  <c r="L509"/>
  <c r="L511"/>
  <c r="L528"/>
  <c r="L527"/>
  <c r="L526"/>
  <c r="L447"/>
  <c r="L444"/>
  <c r="L443"/>
  <c r="L442"/>
  <c r="L441"/>
  <c r="L457"/>
  <c r="L459"/>
  <c r="L464"/>
  <c r="L466"/>
  <c r="L474"/>
  <c r="L479"/>
  <c r="L481"/>
  <c r="L483"/>
  <c r="L490"/>
  <c r="L489"/>
  <c r="L488"/>
  <c r="L487"/>
  <c r="L486"/>
  <c r="L368"/>
  <c r="L367"/>
  <c r="L398"/>
  <c r="L400"/>
  <c r="L413"/>
  <c r="L430"/>
  <c r="L427"/>
  <c r="L426"/>
  <c r="L436"/>
  <c r="L438"/>
  <c r="L435"/>
  <c r="L434"/>
  <c r="L433"/>
  <c r="L432"/>
  <c r="L190"/>
  <c r="L189"/>
  <c r="L188"/>
  <c r="L202"/>
  <c r="L201"/>
  <c r="L205"/>
  <c r="L204"/>
  <c r="L209"/>
  <c r="L208"/>
  <c r="L218"/>
  <c r="L220"/>
  <c r="L217"/>
  <c r="L216"/>
  <c r="L215"/>
  <c r="L225"/>
  <c r="L232"/>
  <c r="L234"/>
  <c r="L231"/>
  <c r="L238"/>
  <c r="L237"/>
  <c r="L236"/>
  <c r="L244"/>
  <c r="L246"/>
  <c r="L250"/>
  <c r="L261"/>
  <c r="L260"/>
  <c r="L259"/>
  <c r="L258"/>
  <c r="L265"/>
  <c r="L264"/>
  <c r="L263"/>
  <c r="L273"/>
  <c r="L275"/>
  <c r="L287"/>
  <c r="L286"/>
  <c r="L296"/>
  <c r="L300"/>
  <c r="L302"/>
  <c r="L299"/>
  <c r="L298"/>
  <c r="L311"/>
  <c r="L310"/>
  <c r="L309"/>
  <c r="L308"/>
  <c r="L315"/>
  <c r="L321"/>
  <c r="L336"/>
  <c r="L338"/>
  <c r="L344"/>
  <c r="L351"/>
  <c r="L353"/>
  <c r="L355"/>
  <c r="L175"/>
  <c r="L177"/>
  <c r="L174"/>
  <c r="L173"/>
  <c r="L172"/>
  <c r="L171"/>
  <c r="L170"/>
  <c r="L183"/>
  <c r="L119"/>
  <c r="L118"/>
  <c r="L117"/>
  <c r="L116"/>
  <c r="L125"/>
  <c r="L124"/>
  <c r="L123"/>
  <c r="L122"/>
  <c r="L128"/>
  <c r="L131"/>
  <c r="L134"/>
  <c r="L136"/>
  <c r="L139"/>
  <c r="L146"/>
  <c r="L148"/>
  <c r="L161"/>
  <c r="L160"/>
  <c r="L159"/>
  <c r="L158"/>
  <c r="L157"/>
  <c r="L95"/>
  <c r="L113"/>
  <c r="L108"/>
  <c r="L107"/>
  <c r="L86"/>
  <c r="L85"/>
  <c r="L84"/>
  <c r="L83"/>
  <c r="L82"/>
  <c r="L81"/>
  <c r="L43"/>
  <c r="L39"/>
  <c r="L52"/>
  <c r="L56"/>
  <c r="L58"/>
  <c r="L70"/>
  <c r="L60"/>
  <c r="L79"/>
  <c r="L78"/>
  <c r="L77"/>
  <c r="L35"/>
  <c r="L34"/>
  <c r="L33"/>
  <c r="L32"/>
  <c r="L31"/>
  <c r="L22"/>
  <c r="L28"/>
  <c r="L14"/>
  <c r="L13"/>
  <c r="L12"/>
  <c r="L11"/>
  <c r="L10"/>
  <c r="L628"/>
  <c r="L468"/>
  <c r="L750"/>
  <c r="L749"/>
  <c r="L103"/>
  <c r="L65"/>
  <c r="L544"/>
  <c r="L587"/>
  <c r="L586"/>
  <c r="L415"/>
  <c r="L410"/>
  <c r="L409"/>
  <c r="L48"/>
  <c r="L138"/>
  <c r="L270"/>
  <c r="L269"/>
  <c r="L268"/>
  <c r="L461"/>
  <c r="L514"/>
  <c r="L717"/>
  <c r="L713"/>
  <c r="L712"/>
  <c r="L385"/>
  <c r="L384"/>
  <c r="L248"/>
  <c r="L241"/>
  <c r="L240"/>
  <c r="L317"/>
  <c r="L314"/>
  <c r="L197"/>
  <c r="L196"/>
  <c r="L20"/>
  <c r="L19"/>
  <c r="L453"/>
  <c r="L92"/>
  <c r="L91"/>
  <c r="L90"/>
  <c r="L89"/>
  <c r="L88"/>
  <c r="L402"/>
  <c r="L397"/>
  <c r="L396"/>
  <c r="L395"/>
  <c r="L394"/>
  <c r="L102"/>
  <c r="L101"/>
  <c r="L100"/>
  <c r="L293"/>
  <c r="L292"/>
  <c r="L224"/>
  <c r="L508"/>
  <c r="L664"/>
  <c r="L663"/>
  <c r="L662"/>
  <c r="L661"/>
  <c r="L640"/>
  <c r="L601"/>
  <c r="L600"/>
  <c r="L599"/>
  <c r="L598"/>
  <c r="L760"/>
  <c r="L759"/>
  <c r="L758"/>
  <c r="L757"/>
  <c r="L155"/>
  <c r="L154"/>
  <c r="L153"/>
  <c r="L152"/>
  <c r="L151"/>
  <c r="L796"/>
  <c r="L795"/>
  <c r="L794"/>
  <c r="L793"/>
  <c r="L792"/>
  <c r="L791"/>
  <c r="L688"/>
  <c r="L773"/>
  <c r="L772"/>
  <c r="L771"/>
  <c r="L326"/>
  <c r="L325"/>
  <c r="L25"/>
  <c r="L24"/>
  <c r="L47"/>
  <c r="L350"/>
  <c r="L349"/>
  <c r="L348"/>
  <c r="L347"/>
  <c r="L532"/>
  <c r="L531"/>
  <c r="L530"/>
  <c r="L650"/>
  <c r="L728"/>
  <c r="L727"/>
  <c r="L495"/>
  <c r="L494"/>
  <c r="L493"/>
  <c r="L452"/>
  <c r="L742"/>
  <c r="L741"/>
  <c r="L740"/>
  <c r="L739"/>
  <c r="L333"/>
  <c r="L332"/>
  <c r="L331"/>
  <c r="L622"/>
  <c r="L223"/>
  <c r="L222"/>
  <c r="L195"/>
  <c r="L55"/>
  <c r="L46"/>
  <c r="L145"/>
  <c r="L144"/>
  <c r="L143"/>
  <c r="L115"/>
  <c r="L463"/>
  <c r="L451"/>
  <c r="L450"/>
  <c r="L574"/>
  <c r="L573"/>
  <c r="L566"/>
  <c r="L565"/>
  <c r="L539"/>
  <c r="L538"/>
  <c r="L676"/>
  <c r="L675"/>
  <c r="L674"/>
  <c r="L673"/>
  <c r="L621"/>
  <c r="L620"/>
  <c r="L614"/>
  <c r="L597"/>
  <c r="L564"/>
  <c r="L770"/>
  <c r="L769"/>
  <c r="L18"/>
  <c r="L17"/>
  <c r="L16"/>
  <c r="L313"/>
  <c r="L307"/>
  <c r="L267"/>
  <c r="L408"/>
  <c r="L407"/>
  <c r="L406"/>
  <c r="L38"/>
  <c r="L37"/>
  <c r="L9"/>
  <c r="L99"/>
  <c r="L150"/>
  <c r="L214"/>
  <c r="L521"/>
  <c r="L520"/>
  <c r="L492"/>
  <c r="L706"/>
  <c r="L705"/>
  <c r="L692"/>
  <c r="L363"/>
  <c r="L362"/>
  <c r="L361"/>
  <c r="L360"/>
  <c r="L359"/>
  <c r="L207"/>
  <c r="L194"/>
  <c r="L187"/>
  <c r="L186"/>
  <c r="L280"/>
  <c r="L279"/>
  <c r="L478"/>
  <c r="L477"/>
  <c r="L476"/>
  <c r="L449"/>
  <c r="L440"/>
  <c r="L185"/>
  <c r="L596"/>
  <c r="M408"/>
  <c r="M407"/>
  <c r="M123"/>
  <c r="M122"/>
  <c r="L8"/>
  <c r="L798"/>
  <c r="M795"/>
  <c r="M773"/>
  <c r="M760"/>
  <c r="N760"/>
  <c r="M742"/>
  <c r="M732"/>
  <c r="M676"/>
  <c r="N676"/>
  <c r="M675"/>
  <c r="N677"/>
  <c r="M601"/>
  <c r="M591"/>
  <c r="M586"/>
  <c r="M554"/>
  <c r="M553"/>
  <c r="N553"/>
  <c r="M552"/>
  <c r="N552"/>
  <c r="M549"/>
  <c r="M538"/>
  <c r="M526"/>
  <c r="N526"/>
  <c r="M522"/>
  <c r="M508"/>
  <c r="N508"/>
  <c r="M503"/>
  <c r="N503"/>
  <c r="M496"/>
  <c r="M495"/>
  <c r="N495"/>
  <c r="N496"/>
  <c r="M488"/>
  <c r="M478"/>
  <c r="N478"/>
  <c r="N474"/>
  <c r="M452"/>
  <c r="M444"/>
  <c r="M435"/>
  <c r="M397"/>
  <c r="M385"/>
  <c r="M377"/>
  <c r="N377"/>
  <c r="M367"/>
  <c r="N367"/>
  <c r="M364"/>
  <c r="M350"/>
  <c r="M333"/>
  <c r="N333"/>
  <c r="M325"/>
  <c r="N325"/>
  <c r="M314"/>
  <c r="M310"/>
  <c r="M304"/>
  <c r="M293"/>
  <c r="M289"/>
  <c r="N289"/>
  <c r="M286"/>
  <c r="N286"/>
  <c r="M270"/>
  <c r="M241"/>
  <c r="N241"/>
  <c r="M231"/>
  <c r="N231"/>
  <c r="M224"/>
  <c r="M223"/>
  <c r="N223"/>
  <c r="N224"/>
  <c r="M217"/>
  <c r="M207"/>
  <c r="N207"/>
  <c r="M204"/>
  <c r="N204"/>
  <c r="M196"/>
  <c r="M174"/>
  <c r="M173"/>
  <c r="N173"/>
  <c r="M172"/>
  <c r="N174"/>
  <c r="N159"/>
  <c r="M158"/>
  <c r="N160"/>
  <c r="M154"/>
  <c r="M118"/>
  <c r="M92"/>
  <c r="M91"/>
  <c r="N91"/>
  <c r="M90"/>
  <c r="N92"/>
  <c r="M78"/>
  <c r="M72"/>
  <c r="N72"/>
  <c r="M60"/>
  <c r="N60"/>
  <c r="M47"/>
  <c r="M40"/>
  <c r="M24"/>
  <c r="N24"/>
  <c r="M19"/>
  <c r="M13"/>
  <c r="N795"/>
  <c r="M794"/>
  <c r="N773"/>
  <c r="M772"/>
  <c r="M759"/>
  <c r="N759"/>
  <c r="M758"/>
  <c r="N742"/>
  <c r="M741"/>
  <c r="M731"/>
  <c r="N732"/>
  <c r="M674"/>
  <c r="N675"/>
  <c r="M600"/>
  <c r="N601"/>
  <c r="N591"/>
  <c r="M590"/>
  <c r="M574"/>
  <c r="N586"/>
  <c r="N554"/>
  <c r="N549"/>
  <c r="M548"/>
  <c r="M532"/>
  <c r="N538"/>
  <c r="M521"/>
  <c r="N522"/>
  <c r="M494"/>
  <c r="M493"/>
  <c r="N494"/>
  <c r="M487"/>
  <c r="N488"/>
  <c r="M477"/>
  <c r="N477"/>
  <c r="M476"/>
  <c r="N476"/>
  <c r="N452"/>
  <c r="M451"/>
  <c r="N444"/>
  <c r="M443"/>
  <c r="N435"/>
  <c r="M434"/>
  <c r="N397"/>
  <c r="M396"/>
  <c r="N385"/>
  <c r="M384"/>
  <c r="N384"/>
  <c r="N364"/>
  <c r="M363"/>
  <c r="N350"/>
  <c r="M349"/>
  <c r="M332"/>
  <c r="M331"/>
  <c r="N331"/>
  <c r="M313"/>
  <c r="N313"/>
  <c r="N314"/>
  <c r="N310"/>
  <c r="M309"/>
  <c r="M298"/>
  <c r="N298"/>
  <c r="N304"/>
  <c r="N293"/>
  <c r="M292"/>
  <c r="N292"/>
  <c r="M280"/>
  <c r="M279"/>
  <c r="N279"/>
  <c r="N280"/>
  <c r="N270"/>
  <c r="M269"/>
  <c r="M240"/>
  <c r="N240"/>
  <c r="M222"/>
  <c r="N222"/>
  <c r="N217"/>
  <c r="M216"/>
  <c r="M195"/>
  <c r="N196"/>
  <c r="M171"/>
  <c r="N172"/>
  <c r="M157"/>
  <c r="N157"/>
  <c r="N158"/>
  <c r="N154"/>
  <c r="M153"/>
  <c r="M117"/>
  <c r="N118"/>
  <c r="N90"/>
  <c r="M89"/>
  <c r="N78"/>
  <c r="M77"/>
  <c r="N77"/>
  <c r="N47"/>
  <c r="M46"/>
  <c r="N46"/>
  <c r="N40"/>
  <c r="M39"/>
  <c r="N19"/>
  <c r="M18"/>
  <c r="N13"/>
  <c r="M12"/>
  <c r="N794"/>
  <c r="M793"/>
  <c r="N772"/>
  <c r="M771"/>
  <c r="N758"/>
  <c r="M757"/>
  <c r="N757"/>
  <c r="N741"/>
  <c r="M740"/>
  <c r="N731"/>
  <c r="M730"/>
  <c r="N674"/>
  <c r="M673"/>
  <c r="N673"/>
  <c r="N600"/>
  <c r="M599"/>
  <c r="N590"/>
  <c r="M589"/>
  <c r="N589"/>
  <c r="N574"/>
  <c r="M573"/>
  <c r="N548"/>
  <c r="M547"/>
  <c r="N532"/>
  <c r="N521"/>
  <c r="M520"/>
  <c r="N520"/>
  <c r="N493"/>
  <c r="M492"/>
  <c r="N492"/>
  <c r="N487"/>
  <c r="M486"/>
  <c r="N486"/>
  <c r="N451"/>
  <c r="M450"/>
  <c r="N443"/>
  <c r="M442"/>
  <c r="N434"/>
  <c r="M433"/>
  <c r="N396"/>
  <c r="M395"/>
  <c r="N363"/>
  <c r="M362"/>
  <c r="N349"/>
  <c r="M348"/>
  <c r="N332"/>
  <c r="N309"/>
  <c r="M308"/>
  <c r="N269"/>
  <c r="M268"/>
  <c r="N216"/>
  <c r="M215"/>
  <c r="N195"/>
  <c r="M194"/>
  <c r="N171"/>
  <c r="M170"/>
  <c r="N170"/>
  <c r="N153"/>
  <c r="M152"/>
  <c r="N117"/>
  <c r="M116"/>
  <c r="M88"/>
  <c r="N88"/>
  <c r="N89"/>
  <c r="N39"/>
  <c r="M38"/>
  <c r="N18"/>
  <c r="M17"/>
  <c r="N12"/>
  <c r="M11"/>
  <c r="N793"/>
  <c r="M792"/>
  <c r="M770"/>
  <c r="N771"/>
  <c r="N740"/>
  <c r="M739"/>
  <c r="N739"/>
  <c r="M729"/>
  <c r="N730"/>
  <c r="M598"/>
  <c r="N599"/>
  <c r="N573"/>
  <c r="M564"/>
  <c r="N564"/>
  <c r="N547"/>
  <c r="M546"/>
  <c r="N450"/>
  <c r="M449"/>
  <c r="N449"/>
  <c r="N442"/>
  <c r="M441"/>
  <c r="N433"/>
  <c r="M432"/>
  <c r="N395"/>
  <c r="M394"/>
  <c r="N394"/>
  <c r="N362"/>
  <c r="M361"/>
  <c r="M347"/>
  <c r="N347"/>
  <c r="N348"/>
  <c r="N308"/>
  <c r="M307"/>
  <c r="N307"/>
  <c r="N268"/>
  <c r="M267"/>
  <c r="N267"/>
  <c r="N215"/>
  <c r="M214"/>
  <c r="N214"/>
  <c r="M187"/>
  <c r="N194"/>
  <c r="N152"/>
  <c r="M151"/>
  <c r="N116"/>
  <c r="M115"/>
  <c r="N115"/>
  <c r="N38"/>
  <c r="M37"/>
  <c r="N37"/>
  <c r="N17"/>
  <c r="M16"/>
  <c r="N16"/>
  <c r="N11"/>
  <c r="M10"/>
  <c r="N792"/>
  <c r="M791"/>
  <c r="N791"/>
  <c r="N770"/>
  <c r="M769"/>
  <c r="N769"/>
  <c r="N729"/>
  <c r="M728"/>
  <c r="N598"/>
  <c r="M597"/>
  <c r="N546"/>
  <c r="M531"/>
  <c r="N441"/>
  <c r="M440"/>
  <c r="N440"/>
  <c r="N432"/>
  <c r="M406"/>
  <c r="N406"/>
  <c r="N361"/>
  <c r="M360"/>
  <c r="N187"/>
  <c r="M186"/>
  <c r="N151"/>
  <c r="M150"/>
  <c r="N150"/>
  <c r="M9"/>
  <c r="N10"/>
  <c r="M727"/>
  <c r="N727"/>
  <c r="N728"/>
  <c r="M596"/>
  <c r="N596"/>
  <c r="N597"/>
  <c r="N531"/>
  <c r="M530"/>
  <c r="N530"/>
  <c r="N360"/>
  <c r="M359"/>
  <c r="N359"/>
  <c r="N186"/>
  <c r="M185"/>
  <c r="N185"/>
  <c r="M8"/>
  <c r="N9"/>
  <c r="N8"/>
  <c r="N798"/>
</calcChain>
</file>

<file path=xl/sharedStrings.xml><?xml version="1.0" encoding="utf-8"?>
<sst xmlns="http://schemas.openxmlformats.org/spreadsheetml/2006/main" count="4535" uniqueCount="720">
  <si>
    <t xml:space="preserve">            Основное мероприятие "Обеспечение своевременности и полноты исполнения долговых обязательств округа Муром"</t>
  </si>
  <si>
    <t>1520100000</t>
  </si>
  <si>
    <t xml:space="preserve">              Процентные платежи по муниципальному долгу</t>
  </si>
  <si>
    <t>1520110060</t>
  </si>
  <si>
    <t xml:space="preserve">                Обслуживание государственного (муниципального) долга</t>
  </si>
  <si>
    <t>700</t>
  </si>
  <si>
    <t>ГРБС</t>
  </si>
  <si>
    <t>Раздел</t>
  </si>
  <si>
    <t>Целевые статьи</t>
  </si>
  <si>
    <t>Виды расходов</t>
  </si>
  <si>
    <t>План на 2016 год</t>
  </si>
  <si>
    <t>Наименование</t>
  </si>
  <si>
    <t>#Н/Д</t>
  </si>
  <si>
    <t xml:space="preserve">  Администрация округа Муром Владимирской области</t>
  </si>
  <si>
    <t>703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</si>
  <si>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</si>
  <si>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</si>
  <si>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</si>
  <si>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</si>
  <si>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</si>
  <si>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</si>
  <si>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2016-2018 годы</t>
  </si>
  <si>
    <t>1000000000</t>
  </si>
  <si>
    <t xml:space="preserve">          Подпрограмма "Повышение качества предоставления муниципальных услуг, исполнения муниципальных функций и переданных государственных полномочий"</t>
  </si>
  <si>
    <t>1010000000</t>
  </si>
  <si>
    <t xml:space="preserve">            Основное мероприятие "Решение вопросов местного значения"</t>
  </si>
  <si>
    <t>1010100000</t>
  </si>
  <si>
    <t xml:space="preserve">              Расходы на выплаты по оплате труда Главы муниципального образования</t>
  </si>
  <si>
    <t>10101Г0110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</si>
  <si>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</si>
  <si>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</si>
  <si>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</si>
  <si>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</si>
  <si>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  Расходы на выплаты по оплате труда работников органов местного самоуправления</t>
  </si>
  <si>
    <t>1010100110</t>
  </si>
  <si>
    <t xml:space="preserve">              Расходы на обеспечение функций органов местного самоуправления</t>
  </si>
  <si>
    <t>1010100190</t>
  </si>
  <si>
    <t xml:space="preserve">            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</si>
  <si>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1010200000</t>
  </si>
  <si>
    <t xml:space="preserve">              Обеспечение деятельности комиссий по делам несовершеннолетних и защите их прав</t>
  </si>
  <si>
    <t>1010270010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</si>
  <si>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</si>
  <si>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</si>
  <si>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Реализация отдельных государственных полномочий по вопросам административного законодательства</t>
  </si>
  <si>
    <t>1010270020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</si>
  <si>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</si>
  <si>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</si>
  <si>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</si>
  <si>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1010251200</t>
  </si>
  <si>
    <t xml:space="preserve">      Другие общегосударственные вопросы</t>
  </si>
  <si>
    <t>13</t>
  </si>
  <si>
    <t xml:space="preserve">              Осуществление полномочий Российской Федерации по государственной регистрации актов гражданского состояния</t>
  </si>
  <si>
    <t>1010259300</t>
  </si>
  <si>
    <t xml:space="preserve">          Подпрограмма "Обеспечение условий для осуществления деятельности Администрации округа Муром. Информатизация органов местного самоуправления"</t>
  </si>
  <si>
    <t>1020000000</t>
  </si>
  <si>
    <t xml:space="preserve">            Основное мероприятие "Материально-техническое обеспечение реализации муниципальной программы"</t>
  </si>
  <si>
    <t>1020100000</t>
  </si>
  <si>
    <t xml:space="preserve">              Расходы на обеспечение деятельности муниципального казенного учреждения "Управление административными зданиями и транспортом"</t>
  </si>
  <si>
    <t>10201УТ590</t>
  </si>
  <si>
    <t xml:space="preserve">                Иные бюджетные ассигнования</t>
  </si>
  <si>
    <t>800</t>
  </si>
  <si>
    <t xml:space="preserve">              Расходы на обеспечение деятельности централизованных бухгалтерий</t>
  </si>
  <si>
    <t>10201ЦБ590</t>
  </si>
  <si>
    <t xml:space="preserve">            Основное мероприятие "Информационное обеспечение, техническое оснащение и обслуживание рабочих мест сотрудников"</t>
  </si>
  <si>
    <t>1020200000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</si>
  <si>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</si>
  <si>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1020210140</t>
  </si>
  <si>
    <t xml:space="preserve">              Техническое обслуживание автоматизированного рабочего места муниципального служащего</t>
  </si>
  <si>
    <t>1020210150</t>
  </si>
  <si>
    <t xml:space="preserve">            Основное мероприятие "Создание условий для реализации муниципальной программы"</t>
  </si>
  <si>
    <t>1020300000</t>
  </si>
  <si>
    <t xml:space="preserve">              Расходы на обеспечение деятельности казенных учреждений, подведомственных администрации округа</t>
  </si>
  <si>
    <t>102030А590</t>
  </si>
  <si>
    <t xml:space="preserve">              Проведение государственных праздников и дат</t>
  </si>
  <si>
    <t>1020310020</t>
  </si>
  <si>
    <t xml:space="preserve">             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</si>
  <si>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1020320060</t>
  </si>
  <si>
    <t xml:space="preserve">                Социальное обеспечение и иные выплаты населению</t>
  </si>
  <si>
    <t>300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</si>
  <si>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2016-2018 годы"</t>
  </si>
  <si>
    <t>1200000000</t>
  </si>
  <si>
    <t xml:space="preserve">  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2016-2018 годы"</t>
  </si>
  <si>
    <t>1200200000</t>
  </si>
  <si>
    <t>120020А590</t>
  </si>
  <si>
    <t xml:space="preserve">        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2016-2018 годы"</t>
  </si>
  <si>
    <t>1300000000</t>
  </si>
  <si>
    <t xml:space="preserve">            Основное мероприятие "Организация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 в соответствии с Федеральным законом от 27.07.2010 № 210-ФЗ"</t>
  </si>
  <si>
    <t>1300100000</t>
  </si>
  <si>
    <t xml:space="preserve">              Расходы на обеспечение деятельности (оказание услуг) многофункционального центра предоставления государственных и муниципальных услуг</t>
  </si>
  <si>
    <t>13001МФ590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</si>
  <si>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</si>
  <si>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</si>
  <si>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НАЦИОНАЛЬНАЯ БЕЗОПАСНОСТЬ И ПРАВООХРАНИТЕЛЬНАЯ ДЕЯТЕЛЬНОСТЬ</t>
  </si>
  <si>
    <t>03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</si>
  <si>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</si>
  <si>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</si>
  <si>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Основное мероприятие "Создание условий для деятельности народных дружин"</t>
  </si>
  <si>
    <t>1020400000</t>
  </si>
  <si>
    <t xml:space="preserve">              Поощрение членов добровольной народной дружины</t>
  </si>
  <si>
    <t>1020420140</t>
  </si>
  <si>
    <t xml:space="preserve">    НАЦИОНАЛЬНАЯ ЭКОНОМИКА</t>
  </si>
  <si>
    <t xml:space="preserve">      Сельское хозяйство и рыболовство</t>
  </si>
  <si>
    <t xml:space="preserve">             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</si>
  <si>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      Мероприятия по проведению Всероссийской сельскохозяйственной переписи в 2016 году</t>
  </si>
  <si>
    <t>1010253910</t>
  </si>
  <si>
    <t>10102R0551</t>
  </si>
  <si>
    <t xml:space="preserve">      Другие вопросы в области национальной экономики</t>
  </si>
  <si>
    <t>12</t>
  </si>
  <si>
    <t xml:space="preserve">        Муниципальная программа содействия развитию малого и среднего предпринимательства в округе Муром на 2016-2018 годы</t>
  </si>
  <si>
    <t>1100000000</t>
  </si>
  <si>
    <t xml:space="preserve">            Основное мероприятие "Оказание финансовой поддержки субъектам малого и среднего предпринимательства"</t>
  </si>
  <si>
    <t>1100100000</t>
  </si>
  <si>
    <t xml:space="preserve">              Предоставление грантов начинающим субъектам малого и среднего предпринимательства на создание собственного бизнеса</t>
  </si>
  <si>
    <t>1100160030</t>
  </si>
  <si>
    <t xml:space="preserve">    СОЦИАЛЬНАЯ ПОЛИТИКА</t>
  </si>
  <si>
    <t>10</t>
  </si>
  <si>
    <t xml:space="preserve">      Пенсионное обеспечение</t>
  </si>
  <si>
    <t xml:space="preserve">            Основное мероприятие "Пенсионное обеспечение отдельных категорий граждан"</t>
  </si>
  <si>
    <t>1200400000</t>
  </si>
  <si>
    <t xml:space="preserve">              Доплаты к пенсиям муниципальных служащих</t>
  </si>
  <si>
    <t>1200420020</t>
  </si>
  <si>
    <t xml:space="preserve">      Социальное обеспечение населения</t>
  </si>
  <si>
    <t xml:space="preserve">            Основное мероприятие "Оказание мер социальной поддержки и социальной помощи отдельным категориям граждан"</t>
  </si>
  <si>
    <t>1200300000</t>
  </si>
  <si>
    <t xml:space="preserve">              Помощь гражданам, оказавшимся в трудной жизненной ситуации</t>
  </si>
  <si>
    <t>1200320030</t>
  </si>
  <si>
    <t xml:space="preserve">              Адресная социальная помощь больным туберкулезом</t>
  </si>
  <si>
    <t>1200320070</t>
  </si>
  <si>
    <t xml:space="preserve">              Материальная помощь родителям детей, больных сахарным диабетом</t>
  </si>
  <si>
    <t>1200320080</t>
  </si>
  <si>
    <t xml:space="preserve">              Организация бесплатного посещения бани малоимущими гражданами</t>
  </si>
  <si>
    <t>1200320090</t>
  </si>
  <si>
    <t xml:space="preserve">              Проведение химической дезинфекции в очагах туберкулеза</t>
  </si>
  <si>
    <t>1200320160</t>
  </si>
  <si>
    <t xml:space="preserve">            Основное мероприятие "Дополнительная поддержка граждан пожилого возраста"</t>
  </si>
  <si>
    <t>1200500000</t>
  </si>
  <si>
    <t xml:space="preserve">              Выплаты персональных призов гражданам пенсионного возраста "За социальную активность"</t>
  </si>
  <si>
    <t>1200510290</t>
  </si>
  <si>
    <t xml:space="preserve">              Вручение подарков долгожителям округа, достигшим 90, 95, 100 и 105-летия со дня рождения</t>
  </si>
  <si>
    <t>1200510300</t>
  </si>
  <si>
    <t xml:space="preserve">      Другие вопросы в области социальной политики</t>
  </si>
  <si>
    <t>06</t>
  </si>
  <si>
    <t xml:space="preserve">            Основное мероприятие "Создание условий для развития социально ориентированных некоммерческих организаций"</t>
  </si>
  <si>
    <t>1200100000</t>
  </si>
  <si>
    <t xml:space="preserve">              Оказание поддержки общественным организациям</t>
  </si>
  <si>
    <t>1200110130</t>
  </si>
  <si>
    <t xml:space="preserve">              Предоставление субсидий социально-ориентированным некоммерческим организациям на реализацию социальных проектов</t>
  </si>
  <si>
    <t>1200160040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</si>
  <si>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</si>
  <si>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</si>
  <si>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  Подпрограмма "Освещение вопросов деятельности Администрации округа Муром"</t>
  </si>
  <si>
    <t>1030000000</t>
  </si>
  <si>
    <t>1030100000</t>
  </si>
  <si>
    <t xml:space="preserve">              Расходы на обеспечение деятельности (оказание услуг) муниципального автономного учреждения "Муромский меридиан"</t>
  </si>
  <si>
    <t>10301ММ590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</si>
  <si>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</si>
  <si>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</si>
  <si>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</si>
  <si>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Непрограммные расходы органов местного самоуправления</t>
  </si>
  <si>
    <t>9900000000</t>
  </si>
  <si>
    <t xml:space="preserve">          Непрограммные расходы</t>
  </si>
  <si>
    <t>9990000000</t>
  </si>
  <si>
    <t>9990000110</t>
  </si>
  <si>
    <t>9990000190</t>
  </si>
  <si>
    <t xml:space="preserve">              Расходы на выплаты по оплате труда депутатам Совета народных депутатов</t>
  </si>
  <si>
    <t>99900Д0110</t>
  </si>
  <si>
    <t xml:space="preserve">              Расходы на выплаты по оплате труда председателю Совета народных депутатов</t>
  </si>
  <si>
    <t>99900П0110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</si>
  <si>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</si>
  <si>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</si>
  <si>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</si>
  <si>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</si>
  <si>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Муниципальная программа по обеспечению безопасности дорожного движения и транспортного обслуживания населения на территории округа Муром на 2016-2018 годы</t>
  </si>
  <si>
    <t>0600000000</t>
  </si>
  <si>
    <t xml:space="preserve">            Основное мероприятие "Совершенствование организации движения транспорта и пешеходов на территории округа"</t>
  </si>
  <si>
    <t>0600100000</t>
  </si>
  <si>
    <t xml:space="preserve">              Приобретение спецоборудования для оказания помощи при дорожно-транспортных проиcшествиях</t>
  </si>
  <si>
    <t>0600110400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</si>
  <si>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2016-2020 годы"</t>
  </si>
  <si>
    <t>1400000000</t>
  </si>
  <si>
    <t xml:space="preserve">      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2016-2020 годы"</t>
  </si>
  <si>
    <t>1410000000</t>
  </si>
  <si>
    <t xml:space="preserve">            Основное мероприятие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</si>
  <si>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1410100000</t>
  </si>
  <si>
    <t xml:space="preserve">              Расходы на 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</si>
  <si>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14101ГО590</t>
  </si>
  <si>
    <t xml:space="preserve">            Основное мероприятие "Развитие и совершенствование технической оснащенности сил и средств для ликвидации чрезвычайных ситуаций"</t>
  </si>
  <si>
    <t>1410200000</t>
  </si>
  <si>
    <t xml:space="preserve">              Обеспечение защиты населения от чрезвычайных ситуаций и снижение рисков их возникновения</t>
  </si>
  <si>
    <t>1410210460</t>
  </si>
  <si>
    <t xml:space="preserve">            Основное мероприятие "Развитие и совершенствование системы подготовки к действиям в чрезвычайных ситуациях"</t>
  </si>
  <si>
    <t>1410300000</t>
  </si>
  <si>
    <t xml:space="preserve">        Муниципальная программа управления муниципальными финансами и муниципальным долгом округа Муром на 2016-2018 годы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</si>
  <si>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</si>
  <si>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1410310470</t>
  </si>
  <si>
    <t xml:space="preserve">          Подпрограмма "Построение, развитие и эксплуатация аппаратно-программного комплекса технических средств "Безопасный город" на территории округа Муром на 2016-2020 годы"</t>
  </si>
  <si>
    <t>1420000000</t>
  </si>
  <si>
    <t xml:space="preserve">            Основное мероприятие "Организация оптоволоконных и других линий связи и каналов передачи данных"</t>
  </si>
  <si>
    <t>1420100000</t>
  </si>
  <si>
    <t xml:space="preserve">              Обеспечение функционирования АПК "Безопасный город"</t>
  </si>
  <si>
    <t>1420110480</t>
  </si>
  <si>
    <t xml:space="preserve">            Основное мероприятие "Развитие и совершенствование элементов АПК "Безопасный город"</t>
  </si>
  <si>
    <t>1420200000</t>
  </si>
  <si>
    <t xml:space="preserve">              Модернизация и обслуживание элементов АПК "Безопасный город"</t>
  </si>
  <si>
    <t>1420210490</t>
  </si>
  <si>
    <t xml:space="preserve">      Транспорт</t>
  </si>
  <si>
    <t>08</t>
  </si>
  <si>
    <t xml:space="preserve">            Основное мероприятие "Обеспечение доступности общественного транспорта для различных категорий граждан на территории округа"</t>
  </si>
  <si>
    <t>0600200000</t>
  </si>
  <si>
    <t xml:space="preserve">              Возмещение потерь в доходах организаций железнодорожного транспорта от реализации билетов, связанных с сезонным снижением тарифов</t>
  </si>
  <si>
    <t>0600260010</t>
  </si>
  <si>
    <t xml:space="preserve">              Возмещение потерь в доходах организаций автомобильного транспорта от реализации билетов, связанных с сезонным снижением тарифов</t>
  </si>
  <si>
    <t>0600260020</t>
  </si>
  <si>
    <t xml:space="preserve">        Муниципальная программа по приведению в нормативное состояние автомобильных дорог общего пользования местного значения в округе Муром на 2016-2018 годы</t>
  </si>
  <si>
    <t>0400000000</t>
  </si>
  <si>
    <t xml:space="preserve">            Основное мероприятие "Обеспечение надлежащего состояния автомобильных дорог округа Муром"</t>
  </si>
  <si>
    <t>0400100000</t>
  </si>
  <si>
    <t xml:space="preserve">              Ремонт автомобильных дорог общего пользования</t>
  </si>
  <si>
    <t>0400110310</t>
  </si>
  <si>
    <t xml:space="preserve">              Содержание улично-дорожной сети</t>
  </si>
  <si>
    <t>0400110320</t>
  </si>
  <si>
    <t xml:space="preserve">            Основное мероприятие "Обеспечение надлежащего состояния светофорных объектов и дорожных знаков"</t>
  </si>
  <si>
    <t>0400200000</t>
  </si>
  <si>
    <t xml:space="preserve">              Ремонт и техническое обслуживание светофорных объектов</t>
  </si>
  <si>
    <t>0400210330</t>
  </si>
  <si>
    <t xml:space="preserve">              Техническое обслуживание дорожных знаков</t>
  </si>
  <si>
    <t>0400210340</t>
  </si>
  <si>
    <t xml:space="preserve">        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2018 года"</t>
  </si>
  <si>
    <t>0500000000</t>
  </si>
  <si>
    <t xml:space="preserve">            Основное мероприятие "Обеспечение мер социальной поддержки многодетных семей"</t>
  </si>
  <si>
    <t>0500100000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</si>
  <si>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</si>
  <si>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05001S0050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</si>
  <si>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</si>
  <si>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</si>
  <si>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Нанесение дорожной разметки</t>
  </si>
  <si>
    <t>0600110370</t>
  </si>
  <si>
    <t xml:space="preserve">              Оборудование уличного освещения на улицах округа</t>
  </si>
  <si>
    <t>0600110380</t>
  </si>
  <si>
    <t xml:space="preserve">              Замена и установка дорожных знаков и указателей</t>
  </si>
  <si>
    <t>0600110390</t>
  </si>
  <si>
    <t xml:space="preserve">              Ремонт путепровода в створе ул. Л.Толстого</t>
  </si>
  <si>
    <t>0600110410</t>
  </si>
  <si>
    <t xml:space="preserve">        Муниципальная инвестиционная программа округа Муром на 2016-2018 годы</t>
  </si>
  <si>
    <t>0100000000</t>
  </si>
  <si>
    <t xml:space="preserve">            Основное мероприятие "Территориальное планирование"</t>
  </si>
  <si>
    <t>0100100000</t>
  </si>
  <si>
    <t xml:space="preserve">              Строительство (реконструкция) объектов муниципальной собственности округа</t>
  </si>
  <si>
    <t>0100140010</t>
  </si>
  <si>
    <t xml:space="preserve">        Муниципальная программа "Модернизация объектов коммунальной инфраструктуры округа Муром на 2016-2018 годы"</t>
  </si>
  <si>
    <t>0200000000</t>
  </si>
  <si>
    <t xml:space="preserve">            Основное мероприятие "Разработка комплексных схем инженерного обеспечения округа Муром"</t>
  </si>
  <si>
    <t>0200300000</t>
  </si>
  <si>
    <t xml:space="preserve">              Актуализация схем теплоснабжения, водоснабжения и водоотведения</t>
  </si>
  <si>
    <t>0200310350</t>
  </si>
  <si>
    <t xml:space="preserve">    ЖИЛИЩНО-КОММУНАЛЬНОЕ ХОЗЯЙСТВО</t>
  </si>
  <si>
    <t xml:space="preserve">      Жилищное хозяйство</t>
  </si>
  <si>
    <t xml:space="preserve">        Муниципальная программа "Реконструкция и капитальный ремонт общего имущества многоквартирных домов в округе Муром на 2016-2018 годы"</t>
  </si>
  <si>
    <t>0300000000</t>
  </si>
  <si>
    <t xml:space="preserve">            Основное мероприятие "Исполнение обязательств округа по финансовому обеспечению капитального ремонта многоквартирных домов"</t>
  </si>
  <si>
    <t>0300100000</t>
  </si>
  <si>
    <t xml:space="preserve">              Взносы в региональный фонд капитального ремонта</t>
  </si>
  <si>
    <t>0300110170</t>
  </si>
  <si>
    <t xml:space="preserve">              Обеспечение софинансирования мероприятий по капитальному ремонту многоквартирных домов</t>
  </si>
  <si>
    <t>0300160050</t>
  </si>
  <si>
    <t xml:space="preserve">      Коммунальное хозяйство</t>
  </si>
  <si>
    <t xml:space="preserve">            Основное мероприятие "Строительство, реконструкция и техническое перевооружение объектов водоснабжения"</t>
  </si>
  <si>
    <t>0200100000</t>
  </si>
  <si>
    <t>0200140010</t>
  </si>
  <si>
    <t xml:space="preserve">            Основное мероприятие "Строительство, реконструкция и техническое перевооружение объектов теплоснабжения"</t>
  </si>
  <si>
    <t>0200200000</t>
  </si>
  <si>
    <t>0200240010</t>
  </si>
  <si>
    <t xml:space="preserve">            Основное мероприятие "Строительство, реконструкция и техническое перевооружение объектов водоотведения"</t>
  </si>
  <si>
    <t>0200400000</t>
  </si>
  <si>
    <t>0200440010</t>
  </si>
  <si>
    <t xml:space="preserve">        Муниципальная программа "Энергосбережение и повышение энергетической эффективности в округе Муром на 2016-2018 годы"</t>
  </si>
  <si>
    <t>1700000000</t>
  </si>
  <si>
    <t xml:space="preserve">            Основное мероприятие "Мероприятия по энергосбережению и повышению энергетической эффективности в области теплоснабжения"</t>
  </si>
  <si>
    <t>1700100000</t>
  </si>
  <si>
    <t xml:space="preserve">              Установка частотных преобразователей на источниках теплоснабжения</t>
  </si>
  <si>
    <t>Под-раздел</t>
  </si>
  <si>
    <t xml:space="preserve">            Основное мероприятие "Организация предоставления дополнительного образования детей в МБОУДОД ЦРТДЮ "Орленок"</t>
  </si>
  <si>
    <t>1700140060</t>
  </si>
  <si>
    <t xml:space="preserve">              Установка приборов учета тепловой энергии на источниках теплоснабжения</t>
  </si>
  <si>
    <t>1700140070</t>
  </si>
  <si>
    <t xml:space="preserve">      Благоустройство</t>
  </si>
  <si>
    <t xml:space="preserve">        Муниципальная программа "Благоустройство территории округа Муром на 2016-2018 годы"</t>
  </si>
  <si>
    <t>1800000000</t>
  </si>
  <si>
    <t xml:space="preserve">            Основное мероприятие "Обеспечение мероприятий по благоустройству и озеленению территории округа"</t>
  </si>
  <si>
    <t>1800200000</t>
  </si>
  <si>
    <t xml:space="preserve">              Расходы на обеспечение деятельности (оказание услуг)  учреждений по благоустройству территории</t>
  </si>
  <si>
    <t>180020Б590</t>
  </si>
  <si>
    <t xml:space="preserve">              Отлов, подбор и утилизация безнадзорных животных</t>
  </si>
  <si>
    <t>1800210420</t>
  </si>
  <si>
    <t xml:space="preserve">              Благоустройство и текущее содержание кладбищ и мемориалов</t>
  </si>
  <si>
    <t>1800210430</t>
  </si>
  <si>
    <t xml:space="preserve">              Обслуживание прочих объектов благоустройства</t>
  </si>
  <si>
    <t>1800210440</t>
  </si>
  <si>
    <t xml:space="preserve">            Основное мероприятие "Техническое обслуживание и энергоснабжение сетей уличного освещения округа"</t>
  </si>
  <si>
    <t>1800300000</t>
  </si>
  <si>
    <t xml:space="preserve">              Организация освещения улиц</t>
  </si>
  <si>
    <t>1800310450</t>
  </si>
  <si>
    <t xml:space="preserve">      Другие вопросы в области жилищно-коммунального хозяйства</t>
  </si>
  <si>
    <t>1800100000</t>
  </si>
  <si>
    <t>1800100110</t>
  </si>
  <si>
    <t>1800100190</t>
  </si>
  <si>
    <t xml:space="preserve">              Уплата налогов и сборов за объекты муниципальной собственности</t>
  </si>
  <si>
    <t>1800110050</t>
  </si>
  <si>
    <t xml:space="preserve">              Расходы на обеспечение деятельности муниципального казенного учреждения "Муромстройзаказчик"</t>
  </si>
  <si>
    <t>18001МС590</t>
  </si>
  <si>
    <t>18001ЦБ590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</si>
  <si>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</si>
  <si>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0600220040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</si>
  <si>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</si>
  <si>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0600220050</t>
  </si>
  <si>
    <t xml:space="preserve">              Обеспечение равной доступности услуг общественного транспорта для отдельных категорий граждан в муниципальном сообщении</t>
  </si>
  <si>
    <t>0600270150</t>
  </si>
  <si>
    <t xml:space="preserve">              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</si>
  <si>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06002S0150</t>
  </si>
  <si>
    <t xml:space="preserve">  Муниципальное казенное учреждение "Управление жилищной политики администрации округа Муром Владимирской области"</t>
  </si>
  <si>
    <t>733</t>
  </si>
  <si>
    <t xml:space="preserve">        Муниципальная программа "Обеспечение комфортным жильем населения округа Муром в  2016-2018 годах"</t>
  </si>
  <si>
    <t>0700000000</t>
  </si>
  <si>
    <t xml:space="preserve">          Подпрограмма "Переселение граждан из аварийного жилищного фонда"</t>
  </si>
  <si>
    <t>0710000000</t>
  </si>
  <si>
    <t xml:space="preserve">            Основное мероприятие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</si>
  <si>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0710100000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</si>
  <si>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</si>
  <si>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0710110180</t>
  </si>
  <si>
    <t xml:space="preserve">            Основное мероприятие "Оплата расходов на коммунальные услуги и содержание незаселенных жилых помещений муниципального жилищного фонда округа Муром"</t>
  </si>
  <si>
    <t>0710300000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</si>
  <si>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</si>
  <si>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0710310360</t>
  </si>
  <si>
    <t>0710200000</t>
  </si>
  <si>
    <t>0710200110</t>
  </si>
  <si>
    <t>0710200190</t>
  </si>
  <si>
    <t xml:space="preserve">              Расходы на обеспечение деятельности муниципального казенного учреждения "Муниципальный жилищный фонд"</t>
  </si>
  <si>
    <t>07102ЖФ590</t>
  </si>
  <si>
    <t xml:space="preserve">          Подпрограмма "Обеспечение жильем молодых семей округа Муром"</t>
  </si>
  <si>
    <t>0720000000</t>
  </si>
  <si>
    <t xml:space="preserve">            Основное мероприятие "Обеспечение мер социальной поддержки по улучшению жилищных условий молодых семей"</t>
  </si>
  <si>
    <t>0720100000</t>
  </si>
  <si>
    <t xml:space="preserve">              Предоставление социальных выплат молодым семьям на приобретение (строительство) жилья</t>
  </si>
  <si>
    <t>07201L0200</t>
  </si>
  <si>
    <t xml:space="preserve">          Подпрограмма "Обеспечение жильем отдельных категорий граждан, установленных законодательством, на территории муниципального образования округ Муром"</t>
  </si>
  <si>
    <t>0730000000</t>
  </si>
  <si>
    <t xml:space="preserve">            Основное мероприятие "Обеспечение жильем ветеранов, инвалидов и семей, имеющих детей-инвалидов"</t>
  </si>
  <si>
    <t>0730100000</t>
  </si>
  <si>
    <t xml:space="preserve">             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</si>
  <si>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0730151350</t>
  </si>
  <si>
    <t xml:space="preserve">          Подпрограмма "Обеспечение жильем многодетных семей округа Муром"</t>
  </si>
  <si>
    <t>0750000000</t>
  </si>
  <si>
    <t xml:space="preserve">            Основное мероприятие "Оказание мер социальной поддержки многодетным семьям"</t>
  </si>
  <si>
    <t>0750100000</t>
  </si>
  <si>
    <t xml:space="preserve">              Предоставление социальных выплат многодетным семьям на строительство жилья</t>
  </si>
  <si>
    <t>07501S0810</t>
  </si>
  <si>
    <t xml:space="preserve">      Охрана семьи и детства</t>
  </si>
  <si>
    <t xml:space="preserve">            Основное мероприятие "Обеспечение дополнительных гарантий прав на имущество и жилое помещение детей-сирот и детей, оставшихся без попечения родителей"</t>
  </si>
  <si>
    <t>0730300000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</si>
  <si>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</si>
  <si>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0730350820</t>
  </si>
  <si>
    <t>07303R0820</t>
  </si>
  <si>
    <t xml:space="preserve">  Управление культуры администрации округа Муром Владимирской области</t>
  </si>
  <si>
    <t>758</t>
  </si>
  <si>
    <t xml:space="preserve">    ОБРАЗОВАНИЕ</t>
  </si>
  <si>
    <t>07</t>
  </si>
  <si>
    <t xml:space="preserve">      Общее образование</t>
  </si>
  <si>
    <t xml:space="preserve">        Муниципальная программа сохранения и развития культуры округа Муром на 2016-2018 годы</t>
  </si>
  <si>
    <t>0900000000</t>
  </si>
  <si>
    <t xml:space="preserve">            Основное мероприятие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</si>
  <si>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0900100000</t>
  </si>
  <si>
    <t xml:space="preserve">      Дорожное хозяйство (дорожные фонды)</t>
  </si>
  <si>
    <t>ВСЕГО расходов: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</si>
  <si>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</si>
  <si>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</si>
  <si>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0900170390</t>
  </si>
  <si>
    <t xml:space="preserve">              Расходы на обеспечение деятельности (оказание услуг)  учреждений по внешкольной работе с детьми</t>
  </si>
  <si>
    <t>09001УВ590</t>
  </si>
  <si>
    <t xml:space="preserve">    КУЛЬТУРА И КИНЕМАТОГРАФИЯ</t>
  </si>
  <si>
    <t xml:space="preserve">      Культура</t>
  </si>
  <si>
    <t xml:space="preserve">            Основное мероприятие "Организация библиотечного обслуживания населения, комплектование и обеспечение сохранности библиотечных фондов библиотек округа"</t>
  </si>
  <si>
    <t>0900200000</t>
  </si>
  <si>
    <t xml:space="preserve">              Комплектование книжных фондов библиотек муниципальных образований</t>
  </si>
  <si>
    <t>0900251440</t>
  </si>
  <si>
    <t xml:space="preserve">      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</si>
  <si>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0900251460</t>
  </si>
  <si>
    <t xml:space="preserve">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</si>
  <si>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0900270230</t>
  </si>
  <si>
    <t>0900270390</t>
  </si>
  <si>
    <t xml:space="preserve">              Расходы на обеспечение  деятельности (оказание услуг) библиотек</t>
  </si>
  <si>
    <t>09002УБ590</t>
  </si>
  <si>
    <t xml:space="preserve">            Основное мероприятие "Создание условий для организации досуга и обеспечения жителей  округа услугами организаций культуры"</t>
  </si>
  <si>
    <t>0900300000</t>
  </si>
  <si>
    <t xml:space="preserve">              Организация и проведение мероприятий по антинаркотической пропаганде</t>
  </si>
  <si>
    <t>0900310120</t>
  </si>
  <si>
    <t>0900370230</t>
  </si>
  <si>
    <t>0900370390</t>
  </si>
  <si>
    <t xml:space="preserve">              Расходы на обеспечение деятельности (оказание услуг) учреждений  в сфере культуры</t>
  </si>
  <si>
    <t>09003УК590</t>
  </si>
  <si>
    <t xml:space="preserve">      Другие вопросы в области культуры, кинематографии</t>
  </si>
  <si>
    <t>0900400000</t>
  </si>
  <si>
    <t>0900400110</t>
  </si>
  <si>
    <t>0900400190</t>
  </si>
  <si>
    <t>09004ЦБ590</t>
  </si>
  <si>
    <t>0900470230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</si>
  <si>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</si>
  <si>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</si>
  <si>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2016-2018 годы"</t>
  </si>
  <si>
    <t>0800000000</t>
  </si>
  <si>
    <t xml:space="preserve">            Основное мероприятие "Оценка недвижимости, признание прав и регулирование отношений по государственной и муниципальной собственности"</t>
  </si>
  <si>
    <t>0800100000</t>
  </si>
  <si>
    <t xml:space="preserve">              Проведение работ по инвентаризации объектов недвижимости казны округа Муром</t>
  </si>
  <si>
    <t>0800110070</t>
  </si>
  <si>
    <t xml:space="preserve">              Выполнение межевых работ</t>
  </si>
  <si>
    <t>0800110080</t>
  </si>
  <si>
    <t xml:space="preserve">              Оценка рыночной стоимости арендной платы и муниципального имущества</t>
  </si>
  <si>
    <t>0800110090</t>
  </si>
  <si>
    <t xml:space="preserve">            Основное мероприятие "Содержание объектов муниципальной собственности"</t>
  </si>
  <si>
    <t>0800200000</t>
  </si>
  <si>
    <t>0800210050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</si>
  <si>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</t>
  </si>
  <si>
    <t>0800210100</t>
  </si>
  <si>
    <t>0800300000</t>
  </si>
  <si>
    <t>0800300110</t>
  </si>
  <si>
    <t>0800300190</t>
  </si>
  <si>
    <t xml:space="preserve">              Исполнение судебных актов</t>
  </si>
  <si>
    <t>0800310040</t>
  </si>
  <si>
    <t xml:space="preserve">            Основное мероприятие "Развитие инфраструктуры поддержки малого и среднего предпринимательства"</t>
  </si>
  <si>
    <t>1100200000</t>
  </si>
  <si>
    <t xml:space="preserve">              Расходы на обеспечение деятельности (оказания услуг) муниципального бюджетного учреждения "Муромский бизнес-инкубатор"</t>
  </si>
  <si>
    <t>11002БИ590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</si>
  <si>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</si>
  <si>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</si>
  <si>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программы управления муниципальными финансами и муниципальным долгом округа Муром на 2016-2018 годы</t>
  </si>
  <si>
    <t>1500000000</t>
  </si>
  <si>
    <t xml:space="preserve">          Подпрограмма "Повышение эффективности бюджетных расходов округа Муром"</t>
  </si>
  <si>
    <t>1530000000</t>
  </si>
  <si>
    <t xml:space="preserve">            Основное мероприятие "Развитие программно-целевых методов планирования и повышение эффективности бюджетных расходов"</t>
  </si>
  <si>
    <t>1530100000</t>
  </si>
  <si>
    <t xml:space="preserve">              Распределение части бюджета принимаемых обязательств между ГРБС в зависимости от оценки качества управления финансами</t>
  </si>
  <si>
    <t>1530110160</t>
  </si>
  <si>
    <t xml:space="preserve">        Муниципальная программа "Развитие физической культуры и спорта в округе Муром на 2016-2018 годы"</t>
  </si>
  <si>
    <t>2000000000</t>
  </si>
  <si>
    <t xml:space="preserve">            Основное мероприятие "Организация предоставления дополнительного образования в сфере физической культуры и спорта"</t>
  </si>
  <si>
    <t>2000100000</t>
  </si>
  <si>
    <t xml:space="preserve">              Мероприятия по обеспечению доступа инвалидов к спортивным объектам и услугам</t>
  </si>
  <si>
    <t>2000110250</t>
  </si>
  <si>
    <t xml:space="preserve">             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</si>
  <si>
    <t>2000170460</t>
  </si>
  <si>
    <t xml:space="preserve">              Расходы на обеспечение деятельности (оказание услуг) учреждений по внешкольной работе с детьми</t>
  </si>
  <si>
    <t>20001УВ590</t>
  </si>
  <si>
    <t xml:space="preserve">      Молодежная политика и оздоровление детей</t>
  </si>
  <si>
    <t xml:space="preserve">        Муниципальная программа "Развитие образования в округе Муром" на 2016-2018 годы</t>
  </si>
  <si>
    <t>1600000000</t>
  </si>
  <si>
    <t xml:space="preserve">          Подпрограмма "Развитие дошкольного, общего и дополнительного образования детей в округе Муром"</t>
  </si>
  <si>
    <t>1610000000</t>
  </si>
  <si>
    <t xml:space="preserve">            Основное мероприятие "Организация отдыха детей в каникулярное время"</t>
  </si>
  <si>
    <t>1610400000</t>
  </si>
  <si>
    <t xml:space="preserve">              Оздоровление детей в каникулярное время с круглосуточным пребыванием во внешкольных учреждениях</t>
  </si>
  <si>
    <t>16104S050В</t>
  </si>
  <si>
    <t xml:space="preserve">      Другие вопросы в области образования</t>
  </si>
  <si>
    <t>2000500000</t>
  </si>
  <si>
    <t>20005ЦБ590</t>
  </si>
  <si>
    <t xml:space="preserve">              Ежемесячные денежные выплаты заслуженным работникам физической культуры и спорта</t>
  </si>
  <si>
    <t>2000520010</t>
  </si>
  <si>
    <t xml:space="preserve">    ФИЗИЧЕСКАЯ КУЛЬТУРА И СПОРТ</t>
  </si>
  <si>
    <t>11</t>
  </si>
  <si>
    <t xml:space="preserve">      Физическая культура</t>
  </si>
  <si>
    <t xml:space="preserve">            Основное мероприятие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</si>
  <si>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2000200000</t>
  </si>
  <si>
    <t xml:space="preserve">              Реализация календарного плана физкультурно-оздоровительных и спортивных мероприятий округа Муром</t>
  </si>
  <si>
    <t>2000210270</t>
  </si>
  <si>
    <t xml:space="preserve">            Основное мероприятие "Создание условий для развития футбола в округе Муром"</t>
  </si>
  <si>
    <t>2000400000</t>
  </si>
  <si>
    <t>2000460060</t>
  </si>
  <si>
    <t xml:space="preserve">      Массовый спорт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</si>
  <si>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</si>
  <si>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>2000110260</t>
  </si>
  <si>
    <t>2000210120</t>
  </si>
  <si>
    <t xml:space="preserve">            Основное мероприятие "Строительство и реконструкция спортивных объектов"</t>
  </si>
  <si>
    <t>2000300000</t>
  </si>
  <si>
    <t xml:space="preserve">              Строительство объектов спортивной направленности</t>
  </si>
  <si>
    <t>20003R4950</t>
  </si>
  <si>
    <t xml:space="preserve">              Организация спортивной подготовки по футболу</t>
  </si>
  <si>
    <t>2000410280</t>
  </si>
  <si>
    <t xml:space="preserve">      Другие вопросы в области физической культуры и спорта</t>
  </si>
  <si>
    <t>2000500110</t>
  </si>
  <si>
    <t>2000500190</t>
  </si>
  <si>
    <t xml:space="preserve">  Управление образования администрации округа Муром</t>
  </si>
  <si>
    <t>773</t>
  </si>
  <si>
    <t xml:space="preserve">      Дошкольное образование</t>
  </si>
  <si>
    <t xml:space="preserve">            Основное мероприятие "Организация предоставления общедоступного и бесплатного дошкольного образования по основным общеобразовательным программам"</t>
  </si>
  <si>
    <t>1610100000</t>
  </si>
  <si>
    <t xml:space="preserve">              Обеспечение льготного питания воспитанников дошкольных образовательных учреждений</t>
  </si>
  <si>
    <t>1610110190</t>
  </si>
  <si>
    <t xml:space="preserve">              Модернизация дошкольного образования</t>
  </si>
  <si>
    <t>1610110210</t>
  </si>
  <si>
    <t xml:space="preserve">              Выплата денежного поощрения лучшим педагогам дошкольных образовательных учреждений</t>
  </si>
  <si>
    <t>1610120100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</si>
  <si>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</t>
  </si>
  <si>
    <t>1610170490</t>
  </si>
  <si>
    <t xml:space="preserve">              Предоставление компенсации расходов на оплату жилых помещений, отопления и освещения отдельным категориям граждан в сфере образования</t>
  </si>
  <si>
    <t>1610170590</t>
  </si>
  <si>
    <t xml:space="preserve">              Расходы на обеспечение деятельности (оказание услуг) детских дошкольных учреждений</t>
  </si>
  <si>
    <t>16101УД590</t>
  </si>
  <si>
    <t xml:space="preserve">            Основное мероприятие "Организация предоставления общедоступного и бесплатного общего образования по основным общеобразовательным программам"</t>
  </si>
  <si>
    <t>1610200000</t>
  </si>
  <si>
    <t>1610210200</t>
  </si>
  <si>
    <t xml:space="preserve">              Обеспечение льготного питания обучающихся в общеобразовательных учреждениях</t>
  </si>
  <si>
    <t>1610210220</t>
  </si>
  <si>
    <t xml:space="preserve">              Модернизация общеобразовательных учреждений</t>
  </si>
  <si>
    <t>1610210230</t>
  </si>
  <si>
    <t xml:space="preserve">              Поощрение лучших учителей общеобразовательных учреждений</t>
  </si>
  <si>
    <t>1610220110</t>
  </si>
  <si>
    <t xml:space="preserve">              Денежное поощрение учащихся общеобразовательных школ</t>
  </si>
  <si>
    <t>1610220120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</si>
  <si>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</si>
  <si>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1610270470</t>
  </si>
  <si>
    <t xml:space="preserve">    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</t>
  </si>
  <si>
    <t>1610270510</t>
  </si>
  <si>
    <t>1610270590</t>
  </si>
  <si>
    <t xml:space="preserve">      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</si>
  <si>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1610270960</t>
  </si>
  <si>
    <t xml:space="preserve">              Организация питания обучающихся 1-4 классов в общеобразовательных учреждениях</t>
  </si>
  <si>
    <t>16102S0510</t>
  </si>
  <si>
    <t xml:space="preserve">              Расходы на обеспечение деятельности (оказание услуг) общеобразовательных учреждений</t>
  </si>
  <si>
    <t>16102УШ590</t>
  </si>
  <si>
    <t xml:space="preserve">            Основное мероприятие "Организация предоставления дополнительного образования детей"</t>
  </si>
  <si>
    <t>1610300000</t>
  </si>
  <si>
    <t xml:space="preserve">              Поощрение лучших педагогов дополнительного образования</t>
  </si>
  <si>
    <t>1610320130</t>
  </si>
  <si>
    <t>1610370460</t>
  </si>
  <si>
    <t>16103УВ590</t>
  </si>
  <si>
    <t xml:space="preserve">              Оздоровление детей в каникулярное время</t>
  </si>
  <si>
    <t>1610470500</t>
  </si>
  <si>
    <t xml:space="preserve">              Приобретение путевок в оздоровительные лагеря детям "группы риска"</t>
  </si>
  <si>
    <t>16104S050Р</t>
  </si>
  <si>
    <t xml:space="preserve">              Оздоровление детей в каникулярное время с дневным пребыванием в общеобразовательных учреждениях</t>
  </si>
  <si>
    <t>16104S050Ш</t>
  </si>
  <si>
    <t xml:space="preserve">          Подпрограмма "Обеспечение реализации муниципальной программы "Развитие образования в округе Муром"</t>
  </si>
  <si>
    <t>1630000000</t>
  </si>
  <si>
    <t>1630100000</t>
  </si>
  <si>
    <t>1630100110</t>
  </si>
  <si>
    <t>1630100190</t>
  </si>
  <si>
    <t xml:space="preserve">              Расходы на обеспечение деятельности (оказание услуг) муниципального бюджетного учреждения "Межшкольный учебный комбинат"</t>
  </si>
  <si>
    <t>16301МК590</t>
  </si>
  <si>
    <t>16301ЦБ590</t>
  </si>
  <si>
    <t xml:space="preserve">              Расходы на обеспечение деятельности муниципального казенного учреждения "Центр работы с педагогическими кадрами"</t>
  </si>
  <si>
    <t>16301ЦП590</t>
  </si>
  <si>
    <t xml:space="preserve">              Социальная поддержка детей-инвалидов дошкольного возраста</t>
  </si>
  <si>
    <t>1610170540</t>
  </si>
  <si>
    <t>1630170590</t>
  </si>
  <si>
    <t>1610170560</t>
  </si>
  <si>
    <t xml:space="preserve">          Подпрограмма "Обеспечение защиты прав и интересов детей-сирот и детей, оставшихся без попечения родителей"</t>
  </si>
  <si>
    <t>1620000000</t>
  </si>
  <si>
    <t xml:space="preserve">            Основное мероприятие "Социальная поддержка детей-сирот и детей, оставшихся без попечения родителей"</t>
  </si>
  <si>
    <t>1620100000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</si>
  <si>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</si>
  <si>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162017065В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</si>
  <si>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</si>
  <si>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162017065О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</si>
  <si>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</si>
  <si>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162017065П</t>
  </si>
  <si>
    <t xml:space="preserve">            Основное мероприятие "Участие в осуществлении деятельности по опеке и попечительству"</t>
  </si>
  <si>
    <t>1620200000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</si>
  <si>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</si>
  <si>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1620270070</t>
  </si>
  <si>
    <t xml:space="preserve">  Комитет по делам молодежи администрации округа Муром</t>
  </si>
  <si>
    <t>791</t>
  </si>
  <si>
    <t xml:space="preserve">        Муниципальная программа "Молодежь Мурома" на 2016-2018 годы</t>
  </si>
  <si>
    <t>1900000000</t>
  </si>
  <si>
    <t xml:space="preserve">          Подпрограмма "Совершенствование и развитие дополнительного образования детей в МБОУДОД ЦРТДЮ "Орленок"</t>
  </si>
  <si>
    <t>1920000000</t>
  </si>
  <si>
    <t>1920100000</t>
  </si>
  <si>
    <t>1920110120</t>
  </si>
  <si>
    <t>1920170460</t>
  </si>
  <si>
    <t>19201УВ590</t>
  </si>
  <si>
    <t xml:space="preserve">          Подпрограмма "Развитие потенциала молодежи"</t>
  </si>
  <si>
    <t>1910000000</t>
  </si>
  <si>
    <t xml:space="preserve">            Основное мероприятие "Создание условий для успешной социализации и эффективной самореализации молодежи"</t>
  </si>
  <si>
    <t>1910100000</t>
  </si>
  <si>
    <t xml:space="preserve">              Организация и осуществление мероприятий по работе с детьми и молодежью</t>
  </si>
  <si>
    <t>1910110240</t>
  </si>
  <si>
    <t xml:space="preserve">            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</si>
  <si>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1910120150</t>
  </si>
  <si>
    <t xml:space="preserve">              Укрепление материально-технической базы  учреждений сферы молодежной политики, учреждений дополнительного образования, туристических объединений, творческих центров, спортивных секций, учреждений детского досуга, муниципальных библиотек</t>
  </si>
  <si>
    <t>1920171290</t>
  </si>
  <si>
    <t xml:space="preserve">              Укрепление материально-технической базы  клубов по месту жительства в сфере молодежной политики</t>
  </si>
  <si>
    <t>19201S1290</t>
  </si>
  <si>
    <t>1910200000</t>
  </si>
  <si>
    <t>1910200110</t>
  </si>
  <si>
    <t>1910200190</t>
  </si>
  <si>
    <t>19102ЦБ590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</si>
  <si>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</si>
  <si>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</si>
  <si>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</si>
  <si>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Подпрограмма "Нормативно-методическое обеспечение и организация бюджетного процесса в округе Муром"</t>
  </si>
  <si>
    <t>1510000000</t>
  </si>
  <si>
    <t xml:space="preserve">            Основное мероприятие "Организационно-методическое обеспечение бюджетного процесса в округе Муром, формирование и исполнение бюджета округа"</t>
  </si>
  <si>
    <t>1510100000</t>
  </si>
  <si>
    <t>1510100110</t>
  </si>
  <si>
    <t>1510100190</t>
  </si>
  <si>
    <t xml:space="preserve">      Резервные фонды</t>
  </si>
  <si>
    <t xml:space="preserve">            Основное мероприятие "Управление резервом финансовых и материальных ресурсов для ликвидации чрезвычайных ситуаций"</t>
  </si>
  <si>
    <t>1510200000</t>
  </si>
  <si>
    <t xml:space="preserve">              Резерв финансовых и материальных ресурсов для ликвидации чрезвычайных ситуаций</t>
  </si>
  <si>
    <t>1510210010</t>
  </si>
  <si>
    <t xml:space="preserve">              Резервирование средств на исполнение судебных актов</t>
  </si>
  <si>
    <t>9990010030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</si>
  <si>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</si>
  <si>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</si>
  <si>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"Управление муниципальным долгом округа Муром"</t>
  </si>
  <si>
    <t>1520000000</t>
  </si>
  <si>
    <t>0730151340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</si>
  <si>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</si>
  <si>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1020310040</t>
  </si>
  <si>
    <t>Исполнение судебных актов</t>
  </si>
  <si>
    <t xml:space="preserve">          Подпрограмма "Социальное жилье в округе Муром"</t>
  </si>
  <si>
    <t>0740000000</t>
  </si>
  <si>
    <t xml:space="preserve">            Основное мероприятие "Улучшение жилищных условий граждан, признанных нуждающимися в жилых помещениях, предоставляемых по договорам социального найма"</t>
  </si>
  <si>
    <t>0740100000</t>
  </si>
  <si>
    <t xml:space="preserve">              Приобретение в собственность муниципального образования округ Муром жилых помещений на первичном рынке жилья</t>
  </si>
  <si>
    <t>0800110500</t>
  </si>
  <si>
    <t xml:space="preserve">              Государственная кадастровая оценка земель населенных пунктов, расположенных на территории муниципального образования округ Муром</t>
  </si>
  <si>
    <t xml:space="preserve">            Основное мероприятие "Переселение граждан из аварийного жилищного фонда"</t>
  </si>
  <si>
    <t>0710400000</t>
  </si>
  <si>
    <t>0710409502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</si>
  <si>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государственной корпорации - Фонда содействия реформированию жилищно-коммунального хозяйства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</si>
  <si>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</si>
  <si>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0710409602</t>
  </si>
  <si>
    <t xml:space="preserve">            Софинансирование мероприятий по обеспечению территорий документацией для осуществления градостроительной деятельности</t>
  </si>
  <si>
    <t>1010170080</t>
  </si>
  <si>
    <t>10101S0080</t>
  </si>
  <si>
    <t xml:space="preserve">         Обеспечение  градостроительной деятельности</t>
  </si>
  <si>
    <t>1010250551</t>
  </si>
  <si>
    <t xml:space="preserve">              Приобретение светодиодных светильников для уличного наружного освещения</t>
  </si>
  <si>
    <t>1700200000</t>
  </si>
  <si>
    <t>1700210510</t>
  </si>
  <si>
    <t xml:space="preserve">            Основное мероприятие "Мероприятия по энергосбережению и повышению энергетической эффективности в области электроснабжения"</t>
  </si>
  <si>
    <t>0500170050</t>
  </si>
  <si>
    <t>074017009П</t>
  </si>
  <si>
    <t xml:space="preserve">              Приобретение жилых помещений для граждан, нуждающихся в улучшении жилищных условий</t>
  </si>
  <si>
    <t>074017009С</t>
  </si>
  <si>
    <t xml:space="preserve">              Строительство социального жилья для граждан, нуждающихся в улучшении жилищных условий</t>
  </si>
  <si>
    <t xml:space="preserve">              Обеспечение жильем многодетных семей</t>
  </si>
  <si>
    <t>0750170810</t>
  </si>
  <si>
    <t>080400000</t>
  </si>
  <si>
    <t>080440080</t>
  </si>
  <si>
    <t xml:space="preserve">            Основное мероприятие «Приобретение в муниципальную собственность имущества»</t>
  </si>
  <si>
    <t xml:space="preserve">           Приобретение в муниципальную собственность округа Муром имущества, расположенного по адресу: Владимирская обл., г.Муром, ул.Стахановская, д.15</t>
  </si>
  <si>
    <t xml:space="preserve">             Мероприятия по обеспечению жильем молодых семей</t>
  </si>
  <si>
    <t>0720150200</t>
  </si>
  <si>
    <t>07201R0200</t>
  </si>
  <si>
    <t xml:space="preserve">            Основное мероприятие "Оказание мер социальной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</si>
  <si>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0730200000</t>
  </si>
  <si>
    <t xml:space="preserve">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</si>
  <si>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0730270040</t>
  </si>
  <si>
    <t xml:space="preserve">              Субсидия автономной некоммерческой организации "Спортивный клуб "Муром"</t>
  </si>
  <si>
    <t xml:space="preserve">      Телевидение и радиовещание</t>
  </si>
  <si>
    <t>07401S009П</t>
  </si>
  <si>
    <t>07401S009С</t>
  </si>
  <si>
    <t xml:space="preserve">              Строительство социального жилья</t>
  </si>
  <si>
    <t>1800210520</t>
  </si>
  <si>
    <t xml:space="preserve">             Ремонт прочих объектов благоустройства</t>
  </si>
  <si>
    <t>0400172460</t>
  </si>
  <si>
    <t xml:space="preserve">            Осуществление дорожной деятельности в отношении автомобильных дорог общего пользования местного значения</t>
  </si>
  <si>
    <t>0710520170</t>
  </si>
  <si>
    <t>0710500000</t>
  </si>
  <si>
    <t xml:space="preserve">          Основное мероприятие "Выплата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энергии, водоснабжения, газа"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</si>
  <si>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энергии, водоснабжения, газа</t>
  </si>
  <si>
    <t>0600110040</t>
  </si>
  <si>
    <t xml:space="preserve">        Организация и проведение областных конкурсов, праздников, акций и иных мероприятий, направленных на повышение престижа семьи</t>
  </si>
  <si>
    <t>0900371530</t>
  </si>
  <si>
    <t xml:space="preserve">              Содержание и эксплуатация уличного освещения</t>
  </si>
  <si>
    <t>1800360070</t>
  </si>
  <si>
    <t>708</t>
  </si>
  <si>
    <t xml:space="preserve">  Территориальная избирательная комиссия округа Муром</t>
  </si>
  <si>
    <t xml:space="preserve">     Обеспечение проведения выборов и референдумов</t>
  </si>
  <si>
    <t xml:space="preserve">             Проведение дополнительных выборов депутатов Совета народных депутатов округа Муром</t>
  </si>
  <si>
    <t>9990010530</t>
  </si>
  <si>
    <t xml:space="preserve">       Иные бюджетные ассигнования</t>
  </si>
  <si>
    <t xml:space="preserve">        Организация и проведение мероприятий, направленных на повышение престижа семьи</t>
  </si>
  <si>
    <t>09003S1530</t>
  </si>
  <si>
    <t>1910170630</t>
  </si>
  <si>
    <t xml:space="preserve">       Реализация проектов-победителей конкурсов в сфере молодежной политики</t>
  </si>
  <si>
    <t>1920170630</t>
  </si>
  <si>
    <t>07104S9602</t>
  </si>
  <si>
    <t xml:space="preserve">               Иные бюджетные ассигнования</t>
  </si>
  <si>
    <t>1610270520</t>
  </si>
  <si>
    <t xml:space="preserve">              Государственная поддержка муниципальных общеобразовательных организаций, внедряющих инновационные образовательные программы</t>
  </si>
  <si>
    <t>16102R0880</t>
  </si>
  <si>
    <t xml:space="preserve">              Поощрение лучших учителей - лауреатов областного конкурса</t>
  </si>
  <si>
    <t>0600140010</t>
  </si>
  <si>
    <t>110015064А</t>
  </si>
  <si>
    <t>Поддержка начинающих субъектов малого и среднего предпринимательства - гранты начинающим субъектам малого и среднего предпринимательства, в т.ч. инновационной сферы</t>
  </si>
  <si>
    <t xml:space="preserve">        Обеспечение мероприятий по капитальному ремонту многоквартирных домов в рамках  сводного краткосрочного плана  реализации региональной программы капитального ремонта общего имущества в многоквартирных домах на территории Владимирской области на 2016 год</t>
  </si>
  <si>
    <t xml:space="preserve">          Предоставление субсидий бюджетным, автономным учреждениям и иным некоммерческим организациям
</t>
  </si>
  <si>
    <t>0300109601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</si>
  <si>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</si>
  <si>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0600110540</t>
  </si>
  <si>
    <t>Приобретение специнструмента, спецсредств, средств связи для своевременного реагирования на ДТП, модернизация системы видеофиксации</t>
  </si>
  <si>
    <t>Основное мероприятие "Проведение капитального ремонта жилых помещений муниципального жилищного фонда"</t>
  </si>
  <si>
    <t>0710600000</t>
  </si>
  <si>
    <t>Расходы на проведение капитального ремонта жилых помещений муниципального жилищного фонда</t>
  </si>
  <si>
    <t>0710610550</t>
  </si>
  <si>
    <t xml:space="preserve">        Обеспечение мероприятий по капитальному ремонту многоквартирных домов </t>
  </si>
  <si>
    <t>03001S9601</t>
  </si>
  <si>
    <t xml:space="preserve">              Строительство наружной сети водоснабжения по Карачаровскому шоссе в г. Муроме за счет гранта муниципальным образованиям, добившимся наилучших значений показателей эффективности деятельности органов местного самоуправления городских округов и муниципальных районов Владимирской области по итогам 2015 года</t>
  </si>
  <si>
    <t>0200170140</t>
  </si>
  <si>
    <t xml:space="preserve">              Поддержка начинающих субъектов малого и среднего предпринимательства - гранты начинающим субъектам малого и среднего предпринимательства, в т.ч. инновационной сферы</t>
  </si>
  <si>
    <t>11001L064А</t>
  </si>
  <si>
    <t>Исполнено за год</t>
  </si>
  <si>
    <t>% исполне-ния</t>
  </si>
  <si>
    <t xml:space="preserve">                  Приложение № 4</t>
  </si>
  <si>
    <t>к Решению Совета народных депутатов</t>
  </si>
  <si>
    <t>от                                            №</t>
  </si>
  <si>
    <t xml:space="preserve">        </t>
  </si>
  <si>
    <t xml:space="preserve">            Основное мероприятие "Освещение деятельности органов местного самоуправления в средствах массовой информации"</t>
  </si>
  <si>
    <t>тыс.руб.</t>
  </si>
  <si>
    <t>Отчет об исполнении по ведомственной структуре расходов бюджета округа Муром за 2016 год</t>
  </si>
</sst>
</file>

<file path=xl/styles.xml><?xml version="1.0" encoding="utf-8"?>
<styleSheet xmlns="http://schemas.openxmlformats.org/spreadsheetml/2006/main">
  <numFmts count="4">
    <numFmt numFmtId="176" formatCode="#,##0.0"/>
    <numFmt numFmtId="179" formatCode="#,##0.00000"/>
    <numFmt numFmtId="181" formatCode="0.0"/>
    <numFmt numFmtId="184" formatCode="0.00000"/>
  </numFmts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2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3">
      <alignment vertical="top" wrapText="1"/>
    </xf>
    <xf numFmtId="4" fontId="20" fillId="20" borderId="3">
      <alignment horizontal="right" vertical="top" shrinkToFit="1"/>
    </xf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1" fillId="27" borderId="4" applyNumberFormat="0" applyAlignment="0" applyProtection="0"/>
    <xf numFmtId="0" fontId="22" fillId="28" borderId="5" applyNumberFormat="0" applyAlignment="0" applyProtection="0"/>
    <xf numFmtId="0" fontId="23" fillId="28" borderId="4" applyNumberForma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9" borderId="10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2" borderId="11" applyNumberFormat="0" applyFont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33" borderId="0" applyNumberFormat="0" applyBorder="0" applyAlignment="0" applyProtection="0"/>
  </cellStyleXfs>
  <cellXfs count="64">
    <xf numFmtId="0" fontId="2" fillId="2" borderId="0" xfId="0" applyFont="1" applyFill="1"/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17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179" fontId="10" fillId="0" borderId="0" xfId="0" applyNumberFormat="1" applyFont="1" applyFill="1"/>
    <xf numFmtId="179" fontId="4" fillId="0" borderId="0" xfId="0" applyNumberFormat="1" applyFont="1" applyFill="1"/>
    <xf numFmtId="4" fontId="4" fillId="0" borderId="0" xfId="0" applyNumberFormat="1" applyFont="1" applyFill="1"/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179" fontId="10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horizontal="center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12" fillId="0" borderId="0" xfId="0" applyNumberFormat="1" applyFont="1" applyFill="1" applyAlignment="1">
      <alignment horizontal="center"/>
    </xf>
    <xf numFmtId="179" fontId="4" fillId="0" borderId="0" xfId="0" applyNumberFormat="1" applyFont="1" applyFill="1" applyBorder="1"/>
    <xf numFmtId="0" fontId="36" fillId="0" borderId="3" xfId="19" applyNumberFormat="1" applyFont="1" applyFill="1" applyProtection="1">
      <alignment vertical="top" wrapText="1"/>
    </xf>
    <xf numFmtId="179" fontId="10" fillId="0" borderId="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/>
    <xf numFmtId="176" fontId="12" fillId="0" borderId="1" xfId="0" applyNumberFormat="1" applyFont="1" applyFill="1" applyBorder="1" applyAlignment="1">
      <alignment horizontal="center" vertical="center"/>
    </xf>
    <xf numFmtId="0" fontId="36" fillId="0" borderId="3" xfId="19" applyNumberFormat="1" applyFont="1" applyProtection="1">
      <alignment vertical="top" wrapText="1"/>
    </xf>
    <xf numFmtId="181" fontId="12" fillId="0" borderId="1" xfId="0" applyNumberFormat="1" applyFont="1" applyFill="1" applyBorder="1" applyAlignment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/>
    </xf>
    <xf numFmtId="176" fontId="36" fillId="0" borderId="3" xfId="20" applyNumberFormat="1" applyFont="1" applyFill="1" applyAlignment="1" applyProtection="1">
      <alignment horizontal="center" vertical="center" shrinkToFit="1"/>
    </xf>
    <xf numFmtId="181" fontId="11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84" fontId="15" fillId="0" borderId="0" xfId="0" applyNumberFormat="1" applyFont="1" applyFill="1"/>
    <xf numFmtId="176" fontId="4" fillId="0" borderId="1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3" xfId="19"/>
    <cellStyle name="xl4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7"/>
  <sheetViews>
    <sheetView showGridLines="0" tabSelected="1" workbookViewId="0">
      <pane ySplit="7" topLeftCell="A783" activePane="bottomLeft" state="frozen"/>
      <selection pane="bottomLeft" activeCell="A6" sqref="A6"/>
    </sheetView>
  </sheetViews>
  <sheetFormatPr defaultColWidth="9.109375" defaultRowHeight="15" outlineLevelRow="7"/>
  <cols>
    <col min="1" max="1" width="47.88671875" style="14" customWidth="1"/>
    <col min="2" max="2" width="6.88671875" style="14" customWidth="1"/>
    <col min="3" max="3" width="7.5546875" style="14" customWidth="1"/>
    <col min="4" max="4" width="8.109375" style="14" customWidth="1"/>
    <col min="5" max="5" width="13.88671875" style="14" customWidth="1"/>
    <col min="6" max="6" width="10" style="14" customWidth="1"/>
    <col min="7" max="8" width="11.109375" style="14" hidden="1" customWidth="1"/>
    <col min="9" max="9" width="12.5546875" style="14" hidden="1" customWidth="1"/>
    <col min="10" max="11" width="14.109375" style="14" hidden="1" customWidth="1"/>
    <col min="12" max="13" width="13.109375" style="14" customWidth="1"/>
    <col min="14" max="14" width="9.109375" style="14"/>
    <col min="15" max="15" width="20" style="14" customWidth="1"/>
    <col min="16" max="16" width="19" style="14" customWidth="1"/>
    <col min="17" max="21" width="9.109375" style="14"/>
    <col min="22" max="16384" width="9.109375" style="15"/>
  </cols>
  <sheetData>
    <row r="1" spans="1:14">
      <c r="A1" s="15"/>
      <c r="B1" s="15"/>
      <c r="C1" s="15"/>
      <c r="D1" s="15"/>
      <c r="E1" s="58"/>
      <c r="F1" s="58"/>
      <c r="G1" s="58"/>
      <c r="H1" s="58"/>
      <c r="I1" s="58"/>
      <c r="J1" s="58"/>
      <c r="K1" s="58"/>
      <c r="L1" s="58"/>
      <c r="M1" s="60" t="s">
        <v>713</v>
      </c>
      <c r="N1" s="60"/>
    </row>
    <row r="2" spans="1:14">
      <c r="A2" s="15"/>
      <c r="B2" s="15"/>
      <c r="C2" s="50"/>
      <c r="D2" s="50"/>
      <c r="E2" s="50"/>
      <c r="F2" s="58" t="s">
        <v>714</v>
      </c>
      <c r="G2" s="58"/>
      <c r="H2" s="58"/>
      <c r="I2" s="58"/>
      <c r="J2" s="58"/>
      <c r="K2" s="58"/>
      <c r="L2" s="58"/>
      <c r="M2" s="58"/>
      <c r="N2" s="58"/>
    </row>
    <row r="3" spans="1:14">
      <c r="A3" s="15"/>
      <c r="B3" s="15"/>
      <c r="C3" s="15"/>
      <c r="D3" s="50" t="s">
        <v>716</v>
      </c>
      <c r="E3" s="50"/>
      <c r="F3" s="50"/>
      <c r="G3" s="50"/>
      <c r="H3" s="50"/>
      <c r="I3" s="50"/>
      <c r="J3" s="50"/>
      <c r="K3" s="50"/>
      <c r="L3" s="61" t="s">
        <v>715</v>
      </c>
      <c r="M3" s="61"/>
      <c r="N3" s="61"/>
    </row>
    <row r="4" spans="1:14" ht="7.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4" ht="17.399999999999999">
      <c r="A5" s="62" t="s">
        <v>719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3.2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7" t="s">
        <v>718</v>
      </c>
    </row>
    <row r="7" spans="1:14" ht="42" customHeight="1">
      <c r="A7" s="55" t="s">
        <v>11</v>
      </c>
      <c r="B7" s="55" t="s">
        <v>6</v>
      </c>
      <c r="C7" s="55" t="s">
        <v>7</v>
      </c>
      <c r="D7" s="55" t="s">
        <v>280</v>
      </c>
      <c r="E7" s="55" t="s">
        <v>8</v>
      </c>
      <c r="F7" s="55" t="s">
        <v>9</v>
      </c>
      <c r="G7" s="55" t="s">
        <v>12</v>
      </c>
      <c r="H7" s="55" t="s">
        <v>12</v>
      </c>
      <c r="I7" s="55" t="s">
        <v>12</v>
      </c>
      <c r="J7" s="55" t="s">
        <v>12</v>
      </c>
      <c r="K7" s="55" t="s">
        <v>12</v>
      </c>
      <c r="L7" s="55" t="s">
        <v>10</v>
      </c>
      <c r="M7" s="56" t="s">
        <v>711</v>
      </c>
      <c r="N7" s="56" t="s">
        <v>712</v>
      </c>
    </row>
    <row r="8" spans="1:14" ht="31.2">
      <c r="A8" s="3" t="s">
        <v>13</v>
      </c>
      <c r="B8" s="4" t="s">
        <v>14</v>
      </c>
      <c r="C8" s="4"/>
      <c r="D8" s="4"/>
      <c r="E8" s="4"/>
      <c r="F8" s="4"/>
      <c r="G8" s="4"/>
      <c r="H8" s="4"/>
      <c r="I8" s="4"/>
      <c r="J8" s="4"/>
      <c r="K8" s="4"/>
      <c r="L8" s="39">
        <f>L9+L81+L88+L115+L150</f>
        <v>107572.996</v>
      </c>
      <c r="M8" s="39">
        <f>M9+M81+M88+M115+M150</f>
        <v>103848.4062</v>
      </c>
      <c r="N8" s="49">
        <f t="shared" ref="N8:N42" si="0">M8/L8*100</f>
        <v>96.537616373536721</v>
      </c>
    </row>
    <row r="9" spans="1:14" ht="18.75" customHeight="1" outlineLevel="1">
      <c r="A9" s="3" t="s">
        <v>17</v>
      </c>
      <c r="B9" s="4" t="s">
        <v>14</v>
      </c>
      <c r="C9" s="4" t="s">
        <v>18</v>
      </c>
      <c r="D9" s="4"/>
      <c r="E9" s="4"/>
      <c r="F9" s="4"/>
      <c r="G9" s="4"/>
      <c r="H9" s="4"/>
      <c r="I9" s="4"/>
      <c r="J9" s="4"/>
      <c r="K9" s="4"/>
      <c r="L9" s="39">
        <f>L10+L16+L31+L37</f>
        <v>93437.398950000003</v>
      </c>
      <c r="M9" s="39">
        <f>M10+M16+M31+M37</f>
        <v>91212.761450000005</v>
      </c>
      <c r="N9" s="49">
        <f t="shared" si="0"/>
        <v>97.619114481996178</v>
      </c>
    </row>
    <row r="10" spans="1:14" ht="46.8" outlineLevel="2">
      <c r="A10" s="5" t="s">
        <v>19</v>
      </c>
      <c r="B10" s="6" t="s">
        <v>14</v>
      </c>
      <c r="C10" s="6" t="s">
        <v>18</v>
      </c>
      <c r="D10" s="6" t="s">
        <v>20</v>
      </c>
      <c r="E10" s="6"/>
      <c r="F10" s="6"/>
      <c r="G10" s="6"/>
      <c r="H10" s="6"/>
      <c r="I10" s="6"/>
      <c r="J10" s="6"/>
      <c r="K10" s="6"/>
      <c r="L10" s="40">
        <f t="shared" ref="L10:M14" si="1">L11</f>
        <v>1889</v>
      </c>
      <c r="M10" s="40">
        <f t="shared" si="1"/>
        <v>1520.07224</v>
      </c>
      <c r="N10" s="47">
        <f t="shared" si="0"/>
        <v>80.469679195341442</v>
      </c>
    </row>
    <row r="11" spans="1:14" ht="46.8" outlineLevel="3">
      <c r="A11" s="2" t="s">
        <v>21</v>
      </c>
      <c r="B11" s="1" t="s">
        <v>14</v>
      </c>
      <c r="C11" s="1" t="s">
        <v>18</v>
      </c>
      <c r="D11" s="1" t="s">
        <v>20</v>
      </c>
      <c r="E11" s="1" t="s">
        <v>22</v>
      </c>
      <c r="F11" s="1" t="s">
        <v>16</v>
      </c>
      <c r="G11" s="1"/>
      <c r="H11" s="1"/>
      <c r="I11" s="1"/>
      <c r="J11" s="1"/>
      <c r="K11" s="1"/>
      <c r="L11" s="41">
        <f t="shared" si="1"/>
        <v>1889</v>
      </c>
      <c r="M11" s="41">
        <f t="shared" si="1"/>
        <v>1520.07224</v>
      </c>
      <c r="N11" s="46">
        <f t="shared" si="0"/>
        <v>80.469679195341442</v>
      </c>
    </row>
    <row r="12" spans="1:14" ht="62.4" outlineLevel="4">
      <c r="A12" s="2" t="s">
        <v>23</v>
      </c>
      <c r="B12" s="1" t="s">
        <v>14</v>
      </c>
      <c r="C12" s="1" t="s">
        <v>18</v>
      </c>
      <c r="D12" s="1" t="s">
        <v>20</v>
      </c>
      <c r="E12" s="1" t="s">
        <v>24</v>
      </c>
      <c r="F12" s="1" t="s">
        <v>16</v>
      </c>
      <c r="G12" s="1"/>
      <c r="H12" s="1"/>
      <c r="I12" s="1"/>
      <c r="J12" s="1"/>
      <c r="K12" s="1"/>
      <c r="L12" s="41">
        <f t="shared" si="1"/>
        <v>1889</v>
      </c>
      <c r="M12" s="41">
        <f t="shared" si="1"/>
        <v>1520.07224</v>
      </c>
      <c r="N12" s="46">
        <f t="shared" si="0"/>
        <v>80.469679195341442</v>
      </c>
    </row>
    <row r="13" spans="1:14" ht="31.2" outlineLevel="5">
      <c r="A13" s="2" t="s">
        <v>25</v>
      </c>
      <c r="B13" s="1" t="s">
        <v>14</v>
      </c>
      <c r="C13" s="1" t="s">
        <v>18</v>
      </c>
      <c r="D13" s="1" t="s">
        <v>20</v>
      </c>
      <c r="E13" s="1" t="s">
        <v>26</v>
      </c>
      <c r="F13" s="1" t="s">
        <v>16</v>
      </c>
      <c r="G13" s="1"/>
      <c r="H13" s="1"/>
      <c r="I13" s="1"/>
      <c r="J13" s="1"/>
      <c r="K13" s="1"/>
      <c r="L13" s="41">
        <f t="shared" si="1"/>
        <v>1889</v>
      </c>
      <c r="M13" s="41">
        <f t="shared" si="1"/>
        <v>1520.07224</v>
      </c>
      <c r="N13" s="46">
        <f t="shared" si="0"/>
        <v>80.469679195341442</v>
      </c>
    </row>
    <row r="14" spans="1:14" ht="31.2" outlineLevel="6">
      <c r="A14" s="2" t="s">
        <v>27</v>
      </c>
      <c r="B14" s="1" t="s">
        <v>14</v>
      </c>
      <c r="C14" s="1" t="s">
        <v>18</v>
      </c>
      <c r="D14" s="1" t="s">
        <v>20</v>
      </c>
      <c r="E14" s="1" t="s">
        <v>28</v>
      </c>
      <c r="F14" s="1" t="s">
        <v>16</v>
      </c>
      <c r="G14" s="1"/>
      <c r="H14" s="1"/>
      <c r="I14" s="1"/>
      <c r="J14" s="1"/>
      <c r="K14" s="1"/>
      <c r="L14" s="41">
        <f t="shared" si="1"/>
        <v>1889</v>
      </c>
      <c r="M14" s="41">
        <f t="shared" si="1"/>
        <v>1520.07224</v>
      </c>
      <c r="N14" s="46">
        <f t="shared" si="0"/>
        <v>80.469679195341442</v>
      </c>
    </row>
    <row r="15" spans="1:14" ht="109.2" outlineLevel="7">
      <c r="A15" s="2" t="s">
        <v>29</v>
      </c>
      <c r="B15" s="1" t="s">
        <v>14</v>
      </c>
      <c r="C15" s="1" t="s">
        <v>18</v>
      </c>
      <c r="D15" s="1" t="s">
        <v>20</v>
      </c>
      <c r="E15" s="1" t="s">
        <v>28</v>
      </c>
      <c r="F15" s="1" t="s">
        <v>30</v>
      </c>
      <c r="G15" s="1"/>
      <c r="H15" s="1"/>
      <c r="I15" s="1"/>
      <c r="J15" s="1"/>
      <c r="K15" s="1"/>
      <c r="L15" s="41">
        <v>1889</v>
      </c>
      <c r="M15" s="48">
        <v>1520.07224</v>
      </c>
      <c r="N15" s="46">
        <f t="shared" si="0"/>
        <v>80.469679195341442</v>
      </c>
    </row>
    <row r="16" spans="1:14" ht="78" outlineLevel="2">
      <c r="A16" s="5" t="s">
        <v>31</v>
      </c>
      <c r="B16" s="6" t="s">
        <v>14</v>
      </c>
      <c r="C16" s="6" t="s">
        <v>18</v>
      </c>
      <c r="D16" s="6" t="s">
        <v>32</v>
      </c>
      <c r="E16" s="6"/>
      <c r="F16" s="6"/>
      <c r="G16" s="6"/>
      <c r="H16" s="6"/>
      <c r="I16" s="6"/>
      <c r="J16" s="6"/>
      <c r="K16" s="6"/>
      <c r="L16" s="40">
        <f>L17</f>
        <v>28055.955420000006</v>
      </c>
      <c r="M16" s="40">
        <f>M17</f>
        <v>28055.805420000001</v>
      </c>
      <c r="N16" s="47">
        <f t="shared" si="0"/>
        <v>99.999465354154722</v>
      </c>
    </row>
    <row r="17" spans="1:14" ht="46.8" outlineLevel="3">
      <c r="A17" s="2" t="s">
        <v>21</v>
      </c>
      <c r="B17" s="1" t="s">
        <v>14</v>
      </c>
      <c r="C17" s="1" t="s">
        <v>18</v>
      </c>
      <c r="D17" s="1" t="s">
        <v>32</v>
      </c>
      <c r="E17" s="1" t="s">
        <v>22</v>
      </c>
      <c r="F17" s="1" t="s">
        <v>16</v>
      </c>
      <c r="G17" s="1"/>
      <c r="H17" s="1"/>
      <c r="I17" s="1"/>
      <c r="J17" s="1"/>
      <c r="K17" s="1"/>
      <c r="L17" s="41">
        <f>L18</f>
        <v>28055.955420000006</v>
      </c>
      <c r="M17" s="41">
        <f>M18</f>
        <v>28055.805420000001</v>
      </c>
      <c r="N17" s="46">
        <f t="shared" si="0"/>
        <v>99.999465354154722</v>
      </c>
    </row>
    <row r="18" spans="1:14" ht="62.4" outlineLevel="4">
      <c r="A18" s="2" t="s">
        <v>23</v>
      </c>
      <c r="B18" s="1" t="s">
        <v>14</v>
      </c>
      <c r="C18" s="1" t="s">
        <v>18</v>
      </c>
      <c r="D18" s="1" t="s">
        <v>32</v>
      </c>
      <c r="E18" s="1" t="s">
        <v>24</v>
      </c>
      <c r="F18" s="1" t="s">
        <v>16</v>
      </c>
      <c r="G18" s="1"/>
      <c r="H18" s="1"/>
      <c r="I18" s="1"/>
      <c r="J18" s="1"/>
      <c r="K18" s="1"/>
      <c r="L18" s="41">
        <f>L19+L24</f>
        <v>28055.955420000006</v>
      </c>
      <c r="M18" s="41">
        <f>M19+M24</f>
        <v>28055.805420000001</v>
      </c>
      <c r="N18" s="46">
        <f t="shared" si="0"/>
        <v>99.999465354154722</v>
      </c>
    </row>
    <row r="19" spans="1:14" ht="31.2" outlineLevel="5">
      <c r="A19" s="2" t="s">
        <v>25</v>
      </c>
      <c r="B19" s="1" t="s">
        <v>14</v>
      </c>
      <c r="C19" s="1" t="s">
        <v>18</v>
      </c>
      <c r="D19" s="1" t="s">
        <v>32</v>
      </c>
      <c r="E19" s="1" t="s">
        <v>26</v>
      </c>
      <c r="F19" s="1" t="s">
        <v>16</v>
      </c>
      <c r="G19" s="1"/>
      <c r="H19" s="1"/>
      <c r="I19" s="1"/>
      <c r="J19" s="1"/>
      <c r="K19" s="1"/>
      <c r="L19" s="41">
        <f>L20+L22</f>
        <v>26452.455420000006</v>
      </c>
      <c r="M19" s="41">
        <f>M20+M22</f>
        <v>26452.305420000001</v>
      </c>
      <c r="N19" s="46">
        <f t="shared" si="0"/>
        <v>99.999432944890671</v>
      </c>
    </row>
    <row r="20" spans="1:14" ht="31.2" outlineLevel="6">
      <c r="A20" s="2" t="s">
        <v>33</v>
      </c>
      <c r="B20" s="1" t="s">
        <v>14</v>
      </c>
      <c r="C20" s="1" t="s">
        <v>18</v>
      </c>
      <c r="D20" s="1" t="s">
        <v>32</v>
      </c>
      <c r="E20" s="1" t="s">
        <v>34</v>
      </c>
      <c r="F20" s="1" t="s">
        <v>16</v>
      </c>
      <c r="G20" s="1"/>
      <c r="H20" s="1"/>
      <c r="I20" s="1"/>
      <c r="J20" s="1"/>
      <c r="K20" s="1"/>
      <c r="L20" s="41">
        <f>L21</f>
        <v>26430.611820000006</v>
      </c>
      <c r="M20" s="41">
        <f>M21</f>
        <v>26430.46182</v>
      </c>
      <c r="N20" s="46">
        <f t="shared" si="0"/>
        <v>99.99943247624752</v>
      </c>
    </row>
    <row r="21" spans="1:14" ht="109.2" outlineLevel="7">
      <c r="A21" s="2" t="s">
        <v>29</v>
      </c>
      <c r="B21" s="1" t="s">
        <v>14</v>
      </c>
      <c r="C21" s="1" t="s">
        <v>18</v>
      </c>
      <c r="D21" s="1" t="s">
        <v>32</v>
      </c>
      <c r="E21" s="1" t="s">
        <v>34</v>
      </c>
      <c r="F21" s="1" t="s">
        <v>30</v>
      </c>
      <c r="G21" s="1"/>
      <c r="H21" s="1"/>
      <c r="I21" s="1"/>
      <c r="J21" s="1"/>
      <c r="K21" s="1"/>
      <c r="L21" s="41">
        <f>26693.9-7-16.6-20-160.32-16.5-17.14996-0.3-6.45-0.3-13.2-87.3-1.05+82.88178</f>
        <v>26430.611820000006</v>
      </c>
      <c r="M21" s="44">
        <v>26430.46182</v>
      </c>
      <c r="N21" s="46">
        <f t="shared" si="0"/>
        <v>99.99943247624752</v>
      </c>
    </row>
    <row r="22" spans="1:14" ht="31.2" outlineLevel="6">
      <c r="A22" s="2" t="s">
        <v>35</v>
      </c>
      <c r="B22" s="1" t="s">
        <v>14</v>
      </c>
      <c r="C22" s="1" t="s">
        <v>18</v>
      </c>
      <c r="D22" s="1" t="s">
        <v>32</v>
      </c>
      <c r="E22" s="1" t="s">
        <v>36</v>
      </c>
      <c r="F22" s="1" t="s">
        <v>16</v>
      </c>
      <c r="G22" s="1"/>
      <c r="H22" s="1"/>
      <c r="I22" s="1"/>
      <c r="J22" s="1"/>
      <c r="K22" s="1"/>
      <c r="L22" s="41">
        <f>L23</f>
        <v>21.843599999999995</v>
      </c>
      <c r="M22" s="41">
        <f>M23</f>
        <v>21.843599999999999</v>
      </c>
      <c r="N22" s="46">
        <f t="shared" si="0"/>
        <v>100.00000000000003</v>
      </c>
    </row>
    <row r="23" spans="1:14" ht="106.5" customHeight="1" outlineLevel="7">
      <c r="A23" s="2" t="s">
        <v>29</v>
      </c>
      <c r="B23" s="1" t="s">
        <v>14</v>
      </c>
      <c r="C23" s="1" t="s">
        <v>18</v>
      </c>
      <c r="D23" s="1" t="s">
        <v>32</v>
      </c>
      <c r="E23" s="1" t="s">
        <v>36</v>
      </c>
      <c r="F23" s="1" t="s">
        <v>30</v>
      </c>
      <c r="G23" s="1"/>
      <c r="H23" s="1"/>
      <c r="I23" s="1"/>
      <c r="J23" s="1"/>
      <c r="K23" s="1"/>
      <c r="L23" s="41">
        <f>85-11.6564-41.5-10</f>
        <v>21.843599999999995</v>
      </c>
      <c r="M23" s="44">
        <v>21.843599999999999</v>
      </c>
      <c r="N23" s="46">
        <f t="shared" si="0"/>
        <v>100.00000000000003</v>
      </c>
    </row>
    <row r="24" spans="1:14" ht="78" outlineLevel="5">
      <c r="A24" s="2" t="s">
        <v>37</v>
      </c>
      <c r="B24" s="1" t="s">
        <v>14</v>
      </c>
      <c r="C24" s="1" t="s">
        <v>18</v>
      </c>
      <c r="D24" s="1" t="s">
        <v>32</v>
      </c>
      <c r="E24" s="1" t="s">
        <v>38</v>
      </c>
      <c r="F24" s="1" t="s">
        <v>16</v>
      </c>
      <c r="G24" s="1"/>
      <c r="H24" s="1"/>
      <c r="I24" s="1"/>
      <c r="J24" s="1"/>
      <c r="K24" s="1"/>
      <c r="L24" s="41">
        <f>L25+L28</f>
        <v>1603.5</v>
      </c>
      <c r="M24" s="41">
        <f>M25+M28</f>
        <v>1603.5</v>
      </c>
      <c r="N24" s="46">
        <f t="shared" si="0"/>
        <v>100</v>
      </c>
    </row>
    <row r="25" spans="1:14" ht="36.75" customHeight="1" outlineLevel="6">
      <c r="A25" s="2" t="s">
        <v>39</v>
      </c>
      <c r="B25" s="1" t="s">
        <v>14</v>
      </c>
      <c r="C25" s="1" t="s">
        <v>18</v>
      </c>
      <c r="D25" s="1" t="s">
        <v>32</v>
      </c>
      <c r="E25" s="1" t="s">
        <v>40</v>
      </c>
      <c r="F25" s="1" t="s">
        <v>16</v>
      </c>
      <c r="G25" s="1"/>
      <c r="H25" s="1"/>
      <c r="I25" s="1"/>
      <c r="J25" s="1"/>
      <c r="K25" s="1"/>
      <c r="L25" s="41">
        <f>L26+L27</f>
        <v>779.5</v>
      </c>
      <c r="M25" s="41">
        <f>M26+M27</f>
        <v>779.5</v>
      </c>
      <c r="N25" s="46">
        <f t="shared" si="0"/>
        <v>100</v>
      </c>
    </row>
    <row r="26" spans="1:14" ht="109.2" outlineLevel="7">
      <c r="A26" s="2" t="s">
        <v>29</v>
      </c>
      <c r="B26" s="1" t="s">
        <v>14</v>
      </c>
      <c r="C26" s="1" t="s">
        <v>18</v>
      </c>
      <c r="D26" s="1" t="s">
        <v>32</v>
      </c>
      <c r="E26" s="1" t="s">
        <v>40</v>
      </c>
      <c r="F26" s="1" t="s">
        <v>30</v>
      </c>
      <c r="G26" s="1"/>
      <c r="H26" s="1"/>
      <c r="I26" s="1"/>
      <c r="J26" s="1"/>
      <c r="K26" s="1"/>
      <c r="L26" s="41">
        <f>653.5-27.87893-0.85-7-15-3.17135</f>
        <v>599.59972000000005</v>
      </c>
      <c r="M26" s="44">
        <v>599.59972000000005</v>
      </c>
      <c r="N26" s="46">
        <f t="shared" si="0"/>
        <v>100</v>
      </c>
    </row>
    <row r="27" spans="1:14" ht="46.8" outlineLevel="7">
      <c r="A27" s="2" t="s">
        <v>41</v>
      </c>
      <c r="B27" s="1" t="s">
        <v>14</v>
      </c>
      <c r="C27" s="1" t="s">
        <v>18</v>
      </c>
      <c r="D27" s="1" t="s">
        <v>32</v>
      </c>
      <c r="E27" s="1" t="s">
        <v>40</v>
      </c>
      <c r="F27" s="1" t="s">
        <v>42</v>
      </c>
      <c r="G27" s="1"/>
      <c r="H27" s="1"/>
      <c r="I27" s="1"/>
      <c r="J27" s="1"/>
      <c r="K27" s="1"/>
      <c r="L27" s="41">
        <f>126+4.1-30.6818+8.505+71.97708</f>
        <v>179.90028000000001</v>
      </c>
      <c r="M27" s="44">
        <v>179.90028000000001</v>
      </c>
      <c r="N27" s="46">
        <f t="shared" si="0"/>
        <v>100</v>
      </c>
    </row>
    <row r="28" spans="1:14" ht="46.8" outlineLevel="6">
      <c r="A28" s="2" t="s">
        <v>43</v>
      </c>
      <c r="B28" s="1" t="s">
        <v>14</v>
      </c>
      <c r="C28" s="1" t="s">
        <v>18</v>
      </c>
      <c r="D28" s="1" t="s">
        <v>32</v>
      </c>
      <c r="E28" s="1" t="s">
        <v>44</v>
      </c>
      <c r="F28" s="1" t="s">
        <v>16</v>
      </c>
      <c r="G28" s="1"/>
      <c r="H28" s="1"/>
      <c r="I28" s="1"/>
      <c r="J28" s="1"/>
      <c r="K28" s="1"/>
      <c r="L28" s="41">
        <f>L30+L29</f>
        <v>824.00000000000011</v>
      </c>
      <c r="M28" s="41">
        <f>M30+M29</f>
        <v>824</v>
      </c>
      <c r="N28" s="46">
        <f t="shared" si="0"/>
        <v>99.999999999999986</v>
      </c>
    </row>
    <row r="29" spans="1:14" ht="109.2" outlineLevel="7">
      <c r="A29" s="2" t="s">
        <v>29</v>
      </c>
      <c r="B29" s="1" t="s">
        <v>14</v>
      </c>
      <c r="C29" s="1" t="s">
        <v>18</v>
      </c>
      <c r="D29" s="1" t="s">
        <v>32</v>
      </c>
      <c r="E29" s="1" t="s">
        <v>44</v>
      </c>
      <c r="F29" s="1" t="s">
        <v>30</v>
      </c>
      <c r="G29" s="1"/>
      <c r="H29" s="1"/>
      <c r="I29" s="1"/>
      <c r="J29" s="1"/>
      <c r="K29" s="1"/>
      <c r="L29" s="41">
        <f>646.6-2.72358-2.65212</f>
        <v>641.22430000000008</v>
      </c>
      <c r="M29" s="44">
        <v>641.22429999999997</v>
      </c>
      <c r="N29" s="46">
        <f t="shared" si="0"/>
        <v>99.999999999999972</v>
      </c>
    </row>
    <row r="30" spans="1:14" ht="46.8" outlineLevel="7">
      <c r="A30" s="2" t="s">
        <v>41</v>
      </c>
      <c r="B30" s="1" t="s">
        <v>14</v>
      </c>
      <c r="C30" s="1" t="s">
        <v>18</v>
      </c>
      <c r="D30" s="1" t="s">
        <v>32</v>
      </c>
      <c r="E30" s="1" t="s">
        <v>44</v>
      </c>
      <c r="F30" s="1" t="s">
        <v>42</v>
      </c>
      <c r="G30" s="1"/>
      <c r="H30" s="1"/>
      <c r="I30" s="1"/>
      <c r="J30" s="1"/>
      <c r="K30" s="1"/>
      <c r="L30" s="41">
        <f>177.4+2.5+2.8757</f>
        <v>182.7757</v>
      </c>
      <c r="M30" s="44">
        <v>182.7757</v>
      </c>
      <c r="N30" s="46">
        <f t="shared" si="0"/>
        <v>100</v>
      </c>
    </row>
    <row r="31" spans="1:14" ht="15.6" outlineLevel="2">
      <c r="A31" s="5" t="s">
        <v>45</v>
      </c>
      <c r="B31" s="6" t="s">
        <v>14</v>
      </c>
      <c r="C31" s="6" t="s">
        <v>18</v>
      </c>
      <c r="D31" s="6" t="s">
        <v>46</v>
      </c>
      <c r="E31" s="6"/>
      <c r="F31" s="6"/>
      <c r="G31" s="6"/>
      <c r="H31" s="6"/>
      <c r="I31" s="6"/>
      <c r="J31" s="6"/>
      <c r="K31" s="6"/>
      <c r="L31" s="40">
        <f t="shared" ref="L31:M35" si="2">L32</f>
        <v>62.1</v>
      </c>
      <c r="M31" s="40">
        <f t="shared" si="2"/>
        <v>62.1</v>
      </c>
      <c r="N31" s="47">
        <f t="shared" si="0"/>
        <v>100</v>
      </c>
    </row>
    <row r="32" spans="1:14" ht="46.8" outlineLevel="3">
      <c r="A32" s="2" t="s">
        <v>21</v>
      </c>
      <c r="B32" s="1" t="s">
        <v>14</v>
      </c>
      <c r="C32" s="1" t="s">
        <v>18</v>
      </c>
      <c r="D32" s="1" t="s">
        <v>46</v>
      </c>
      <c r="E32" s="1" t="s">
        <v>22</v>
      </c>
      <c r="F32" s="1" t="s">
        <v>16</v>
      </c>
      <c r="G32" s="1"/>
      <c r="H32" s="1"/>
      <c r="I32" s="1"/>
      <c r="J32" s="1"/>
      <c r="K32" s="1"/>
      <c r="L32" s="41">
        <f t="shared" si="2"/>
        <v>62.1</v>
      </c>
      <c r="M32" s="41">
        <f t="shared" si="2"/>
        <v>62.1</v>
      </c>
      <c r="N32" s="46">
        <f t="shared" si="0"/>
        <v>100</v>
      </c>
    </row>
    <row r="33" spans="1:14" ht="62.4" outlineLevel="4">
      <c r="A33" s="2" t="s">
        <v>23</v>
      </c>
      <c r="B33" s="1" t="s">
        <v>14</v>
      </c>
      <c r="C33" s="1" t="s">
        <v>18</v>
      </c>
      <c r="D33" s="1" t="s">
        <v>46</v>
      </c>
      <c r="E33" s="1" t="s">
        <v>24</v>
      </c>
      <c r="F33" s="1" t="s">
        <v>16</v>
      </c>
      <c r="G33" s="1"/>
      <c r="H33" s="1"/>
      <c r="I33" s="1"/>
      <c r="J33" s="1"/>
      <c r="K33" s="1"/>
      <c r="L33" s="41">
        <f t="shared" si="2"/>
        <v>62.1</v>
      </c>
      <c r="M33" s="41">
        <f t="shared" si="2"/>
        <v>62.1</v>
      </c>
      <c r="N33" s="46">
        <f t="shared" si="0"/>
        <v>100</v>
      </c>
    </row>
    <row r="34" spans="1:14" ht="78" outlineLevel="5">
      <c r="A34" s="2" t="s">
        <v>37</v>
      </c>
      <c r="B34" s="1" t="s">
        <v>14</v>
      </c>
      <c r="C34" s="1" t="s">
        <v>18</v>
      </c>
      <c r="D34" s="1" t="s">
        <v>46</v>
      </c>
      <c r="E34" s="1" t="s">
        <v>38</v>
      </c>
      <c r="F34" s="1" t="s">
        <v>16</v>
      </c>
      <c r="G34" s="1"/>
      <c r="H34" s="1"/>
      <c r="I34" s="1"/>
      <c r="J34" s="1"/>
      <c r="K34" s="1"/>
      <c r="L34" s="41">
        <f t="shared" si="2"/>
        <v>62.1</v>
      </c>
      <c r="M34" s="41">
        <f t="shared" si="2"/>
        <v>62.1</v>
      </c>
      <c r="N34" s="46">
        <f t="shared" si="0"/>
        <v>100</v>
      </c>
    </row>
    <row r="35" spans="1:14" ht="62.4" outlineLevel="6">
      <c r="A35" s="2" t="s">
        <v>47</v>
      </c>
      <c r="B35" s="1" t="s">
        <v>14</v>
      </c>
      <c r="C35" s="1" t="s">
        <v>18</v>
      </c>
      <c r="D35" s="1" t="s">
        <v>46</v>
      </c>
      <c r="E35" s="1" t="s">
        <v>48</v>
      </c>
      <c r="F35" s="1" t="s">
        <v>16</v>
      </c>
      <c r="G35" s="1"/>
      <c r="H35" s="1"/>
      <c r="I35" s="1"/>
      <c r="J35" s="1"/>
      <c r="K35" s="1"/>
      <c r="L35" s="41">
        <f t="shared" si="2"/>
        <v>62.1</v>
      </c>
      <c r="M35" s="41">
        <f t="shared" si="2"/>
        <v>62.1</v>
      </c>
      <c r="N35" s="46">
        <f t="shared" si="0"/>
        <v>100</v>
      </c>
    </row>
    <row r="36" spans="1:14" ht="46.8" outlineLevel="7">
      <c r="A36" s="2" t="s">
        <v>41</v>
      </c>
      <c r="B36" s="1" t="s">
        <v>14</v>
      </c>
      <c r="C36" s="1" t="s">
        <v>18</v>
      </c>
      <c r="D36" s="1" t="s">
        <v>46</v>
      </c>
      <c r="E36" s="1" t="s">
        <v>48</v>
      </c>
      <c r="F36" s="1" t="s">
        <v>42</v>
      </c>
      <c r="G36" s="1"/>
      <c r="H36" s="1"/>
      <c r="I36" s="1"/>
      <c r="J36" s="1"/>
      <c r="K36" s="1"/>
      <c r="L36" s="41">
        <v>62.1</v>
      </c>
      <c r="M36" s="41">
        <v>62.1</v>
      </c>
      <c r="N36" s="46">
        <f t="shared" si="0"/>
        <v>100</v>
      </c>
    </row>
    <row r="37" spans="1:14" ht="15.6" outlineLevel="2">
      <c r="A37" s="5" t="s">
        <v>49</v>
      </c>
      <c r="B37" s="6" t="s">
        <v>14</v>
      </c>
      <c r="C37" s="6" t="s">
        <v>18</v>
      </c>
      <c r="D37" s="6" t="s">
        <v>50</v>
      </c>
      <c r="E37" s="6"/>
      <c r="F37" s="6"/>
      <c r="G37" s="6"/>
      <c r="H37" s="6"/>
      <c r="I37" s="6"/>
      <c r="J37" s="6"/>
      <c r="K37" s="6"/>
      <c r="L37" s="40">
        <f>L38+L72+L77</f>
        <v>63430.343529999991</v>
      </c>
      <c r="M37" s="40">
        <f>M38+M72+M77</f>
        <v>61574.783790000009</v>
      </c>
      <c r="N37" s="47">
        <f t="shared" si="0"/>
        <v>97.074649707482081</v>
      </c>
    </row>
    <row r="38" spans="1:14" ht="46.8" outlineLevel="3">
      <c r="A38" s="2" t="s">
        <v>21</v>
      </c>
      <c r="B38" s="1" t="s">
        <v>14</v>
      </c>
      <c r="C38" s="1" t="s">
        <v>18</v>
      </c>
      <c r="D38" s="1" t="s">
        <v>50</v>
      </c>
      <c r="E38" s="1" t="s">
        <v>22</v>
      </c>
      <c r="F38" s="1" t="s">
        <v>16</v>
      </c>
      <c r="G38" s="1"/>
      <c r="H38" s="1"/>
      <c r="I38" s="1"/>
      <c r="J38" s="1"/>
      <c r="K38" s="1"/>
      <c r="L38" s="41">
        <f>L39+L46</f>
        <v>55414.59917999999</v>
      </c>
      <c r="M38" s="41">
        <f>M39+M46</f>
        <v>53629.286900000006</v>
      </c>
      <c r="N38" s="46">
        <f t="shared" si="0"/>
        <v>96.778263659002832</v>
      </c>
    </row>
    <row r="39" spans="1:14" ht="62.4" outlineLevel="4">
      <c r="A39" s="2" t="s">
        <v>23</v>
      </c>
      <c r="B39" s="1" t="s">
        <v>14</v>
      </c>
      <c r="C39" s="1" t="s">
        <v>18</v>
      </c>
      <c r="D39" s="1" t="s">
        <v>50</v>
      </c>
      <c r="E39" s="1" t="s">
        <v>24</v>
      </c>
      <c r="F39" s="1" t="s">
        <v>16</v>
      </c>
      <c r="G39" s="1"/>
      <c r="H39" s="1"/>
      <c r="I39" s="1"/>
      <c r="J39" s="1"/>
      <c r="K39" s="1"/>
      <c r="L39" s="41">
        <f>L40</f>
        <v>3912.2</v>
      </c>
      <c r="M39" s="41">
        <f>M40</f>
        <v>3841.44</v>
      </c>
      <c r="N39" s="46">
        <f t="shared" si="0"/>
        <v>98.191299013342885</v>
      </c>
    </row>
    <row r="40" spans="1:14" ht="78" outlineLevel="5">
      <c r="A40" s="2" t="s">
        <v>37</v>
      </c>
      <c r="B40" s="1" t="s">
        <v>14</v>
      </c>
      <c r="C40" s="1" t="s">
        <v>18</v>
      </c>
      <c r="D40" s="1" t="s">
        <v>50</v>
      </c>
      <c r="E40" s="1" t="s">
        <v>38</v>
      </c>
      <c r="F40" s="1" t="s">
        <v>16</v>
      </c>
      <c r="G40" s="1"/>
      <c r="H40" s="1"/>
      <c r="I40" s="1"/>
      <c r="J40" s="1"/>
      <c r="K40" s="1"/>
      <c r="L40" s="41">
        <f>L43+L41</f>
        <v>3912.2</v>
      </c>
      <c r="M40" s="41">
        <f>M43+M41</f>
        <v>3841.44</v>
      </c>
      <c r="N40" s="46">
        <f t="shared" si="0"/>
        <v>98.191299013342885</v>
      </c>
    </row>
    <row r="41" spans="1:14" ht="46.8" outlineLevel="5">
      <c r="A41" s="45" t="s">
        <v>103</v>
      </c>
      <c r="B41" s="1" t="s">
        <v>14</v>
      </c>
      <c r="C41" s="1" t="s">
        <v>18</v>
      </c>
      <c r="D41" s="1" t="s">
        <v>50</v>
      </c>
      <c r="E41" s="1" t="s">
        <v>104</v>
      </c>
      <c r="F41" s="1" t="s">
        <v>16</v>
      </c>
      <c r="G41" s="1"/>
      <c r="H41" s="1"/>
      <c r="I41" s="1"/>
      <c r="J41" s="1"/>
      <c r="K41" s="1"/>
      <c r="L41" s="41">
        <f>L42</f>
        <v>342.2</v>
      </c>
      <c r="M41" s="41">
        <f>M42</f>
        <v>271.44</v>
      </c>
      <c r="N41" s="46">
        <f t="shared" si="0"/>
        <v>79.322033898305094</v>
      </c>
    </row>
    <row r="42" spans="1:14" ht="46.8" outlineLevel="5">
      <c r="A42" s="45" t="s">
        <v>41</v>
      </c>
      <c r="B42" s="1" t="s">
        <v>14</v>
      </c>
      <c r="C42" s="1" t="s">
        <v>18</v>
      </c>
      <c r="D42" s="1" t="s">
        <v>50</v>
      </c>
      <c r="E42" s="1" t="s">
        <v>104</v>
      </c>
      <c r="F42" s="1" t="s">
        <v>42</v>
      </c>
      <c r="G42" s="1"/>
      <c r="H42" s="1"/>
      <c r="I42" s="1"/>
      <c r="J42" s="1"/>
      <c r="K42" s="1"/>
      <c r="L42" s="41">
        <v>342.2</v>
      </c>
      <c r="M42" s="44">
        <v>271.44</v>
      </c>
      <c r="N42" s="46">
        <f t="shared" si="0"/>
        <v>79.322033898305094</v>
      </c>
    </row>
    <row r="43" spans="1:14" ht="46.8" outlineLevel="6">
      <c r="A43" s="2" t="s">
        <v>51</v>
      </c>
      <c r="B43" s="1" t="s">
        <v>14</v>
      </c>
      <c r="C43" s="1" t="s">
        <v>18</v>
      </c>
      <c r="D43" s="1" t="s">
        <v>50</v>
      </c>
      <c r="E43" s="1" t="s">
        <v>52</v>
      </c>
      <c r="F43" s="1" t="s">
        <v>16</v>
      </c>
      <c r="G43" s="1"/>
      <c r="H43" s="1"/>
      <c r="I43" s="1"/>
      <c r="J43" s="1"/>
      <c r="K43" s="1"/>
      <c r="L43" s="41">
        <f>L44+L45</f>
        <v>3570</v>
      </c>
      <c r="M43" s="41">
        <f>M44+M45</f>
        <v>3570</v>
      </c>
      <c r="N43" s="46">
        <f t="shared" ref="N43:N67" si="3">M43/L43*100</f>
        <v>100</v>
      </c>
    </row>
    <row r="44" spans="1:14" ht="109.2" outlineLevel="7">
      <c r="A44" s="2" t="s">
        <v>29</v>
      </c>
      <c r="B44" s="1" t="s">
        <v>14</v>
      </c>
      <c r="C44" s="1" t="s">
        <v>18</v>
      </c>
      <c r="D44" s="1" t="s">
        <v>50</v>
      </c>
      <c r="E44" s="1" t="s">
        <v>52</v>
      </c>
      <c r="F44" s="1" t="s">
        <v>30</v>
      </c>
      <c r="G44" s="1"/>
      <c r="H44" s="1"/>
      <c r="I44" s="1"/>
      <c r="J44" s="1"/>
      <c r="K44" s="1"/>
      <c r="L44" s="41">
        <f>2829.9+12.60048-0.49167-12.81901</f>
        <v>2829.1898000000001</v>
      </c>
      <c r="M44" s="44">
        <v>2829.1898000000001</v>
      </c>
      <c r="N44" s="46">
        <f t="shared" si="3"/>
        <v>100</v>
      </c>
    </row>
    <row r="45" spans="1:14" ht="46.8" outlineLevel="7">
      <c r="A45" s="2" t="s">
        <v>41</v>
      </c>
      <c r="B45" s="1" t="s">
        <v>14</v>
      </c>
      <c r="C45" s="1" t="s">
        <v>18</v>
      </c>
      <c r="D45" s="1" t="s">
        <v>50</v>
      </c>
      <c r="E45" s="1" t="s">
        <v>52</v>
      </c>
      <c r="F45" s="1" t="s">
        <v>42</v>
      </c>
      <c r="G45" s="1"/>
      <c r="H45" s="1"/>
      <c r="I45" s="1"/>
      <c r="J45" s="1"/>
      <c r="K45" s="1"/>
      <c r="L45" s="41">
        <f>740.1-22.82041-4.2+27.73061</f>
        <v>740.8101999999999</v>
      </c>
      <c r="M45" s="44">
        <v>740.81020000000001</v>
      </c>
      <c r="N45" s="46">
        <f t="shared" si="3"/>
        <v>100.00000000000003</v>
      </c>
    </row>
    <row r="46" spans="1:14" ht="66.75" customHeight="1" outlineLevel="4">
      <c r="A46" s="2" t="s">
        <v>53</v>
      </c>
      <c r="B46" s="1" t="s">
        <v>14</v>
      </c>
      <c r="C46" s="1" t="s">
        <v>18</v>
      </c>
      <c r="D46" s="1" t="s">
        <v>50</v>
      </c>
      <c r="E46" s="1" t="s">
        <v>54</v>
      </c>
      <c r="F46" s="1" t="s">
        <v>16</v>
      </c>
      <c r="G46" s="1"/>
      <c r="H46" s="1"/>
      <c r="I46" s="1"/>
      <c r="J46" s="1"/>
      <c r="K46" s="1"/>
      <c r="L46" s="41">
        <f>L47+L55+L60</f>
        <v>51502.399179999993</v>
      </c>
      <c r="M46" s="41">
        <f>M47+M55+M60</f>
        <v>49787.846900000004</v>
      </c>
      <c r="N46" s="46">
        <f t="shared" si="3"/>
        <v>96.670927360087319</v>
      </c>
    </row>
    <row r="47" spans="1:14" ht="46.8" outlineLevel="5">
      <c r="A47" s="2" t="s">
        <v>55</v>
      </c>
      <c r="B47" s="1" t="s">
        <v>14</v>
      </c>
      <c r="C47" s="1" t="s">
        <v>18</v>
      </c>
      <c r="D47" s="1" t="s">
        <v>50</v>
      </c>
      <c r="E47" s="1" t="s">
        <v>56</v>
      </c>
      <c r="F47" s="1" t="s">
        <v>16</v>
      </c>
      <c r="G47" s="1"/>
      <c r="H47" s="1"/>
      <c r="I47" s="1"/>
      <c r="J47" s="1"/>
      <c r="K47" s="1"/>
      <c r="L47" s="41">
        <f>L48+L52</f>
        <v>17051.567089999997</v>
      </c>
      <c r="M47" s="41">
        <f>M48+M52</f>
        <v>17038.482889999999</v>
      </c>
      <c r="N47" s="46">
        <f t="shared" si="3"/>
        <v>99.923266876698563</v>
      </c>
    </row>
    <row r="48" spans="1:14" ht="62.4" outlineLevel="6">
      <c r="A48" s="2" t="s">
        <v>57</v>
      </c>
      <c r="B48" s="1" t="s">
        <v>14</v>
      </c>
      <c r="C48" s="1" t="s">
        <v>18</v>
      </c>
      <c r="D48" s="1" t="s">
        <v>50</v>
      </c>
      <c r="E48" s="1" t="s">
        <v>58</v>
      </c>
      <c r="F48" s="1" t="s">
        <v>16</v>
      </c>
      <c r="G48" s="1"/>
      <c r="H48" s="1"/>
      <c r="I48" s="1"/>
      <c r="J48" s="1"/>
      <c r="K48" s="1"/>
      <c r="L48" s="41">
        <f>L49+L50+L51</f>
        <v>14305.067089999999</v>
      </c>
      <c r="M48" s="41">
        <f>M49+M50+M51</f>
        <v>14291.982889999999</v>
      </c>
      <c r="N48" s="46">
        <f t="shared" si="3"/>
        <v>99.908534507963637</v>
      </c>
    </row>
    <row r="49" spans="1:14" ht="109.2" outlineLevel="7">
      <c r="A49" s="2" t="s">
        <v>29</v>
      </c>
      <c r="B49" s="1" t="s">
        <v>14</v>
      </c>
      <c r="C49" s="1" t="s">
        <v>18</v>
      </c>
      <c r="D49" s="1" t="s">
        <v>50</v>
      </c>
      <c r="E49" s="1" t="s">
        <v>58</v>
      </c>
      <c r="F49" s="1" t="s">
        <v>30</v>
      </c>
      <c r="G49" s="1"/>
      <c r="H49" s="1"/>
      <c r="I49" s="1"/>
      <c r="J49" s="1"/>
      <c r="K49" s="1"/>
      <c r="L49" s="41">
        <f>6944.2+182.71796</f>
        <v>7126.9179599999998</v>
      </c>
      <c r="M49" s="44">
        <v>7126.9179599999998</v>
      </c>
      <c r="N49" s="46">
        <f t="shared" si="3"/>
        <v>100</v>
      </c>
    </row>
    <row r="50" spans="1:14" ht="46.8" outlineLevel="7">
      <c r="A50" s="2" t="s">
        <v>41</v>
      </c>
      <c r="B50" s="1" t="s">
        <v>14</v>
      </c>
      <c r="C50" s="1" t="s">
        <v>18</v>
      </c>
      <c r="D50" s="1" t="s">
        <v>50</v>
      </c>
      <c r="E50" s="1" t="s">
        <v>58</v>
      </c>
      <c r="F50" s="1" t="s">
        <v>42</v>
      </c>
      <c r="G50" s="1"/>
      <c r="H50" s="1"/>
      <c r="I50" s="1"/>
      <c r="J50" s="1"/>
      <c r="K50" s="1"/>
      <c r="L50" s="41">
        <f>6767.5+141.02-78.84681-134.28667+28.0658</f>
        <v>6723.4523200000003</v>
      </c>
      <c r="M50" s="44">
        <v>6710.3681200000001</v>
      </c>
      <c r="N50" s="46">
        <f t="shared" si="3"/>
        <v>99.805394619054866</v>
      </c>
    </row>
    <row r="51" spans="1:14" ht="15.6" outlineLevel="7">
      <c r="A51" s="2" t="s">
        <v>59</v>
      </c>
      <c r="B51" s="1" t="s">
        <v>14</v>
      </c>
      <c r="C51" s="1" t="s">
        <v>18</v>
      </c>
      <c r="D51" s="1" t="s">
        <v>50</v>
      </c>
      <c r="E51" s="1" t="s">
        <v>58</v>
      </c>
      <c r="F51" s="1" t="s">
        <v>60</v>
      </c>
      <c r="G51" s="1"/>
      <c r="H51" s="1"/>
      <c r="I51" s="1"/>
      <c r="J51" s="1"/>
      <c r="K51" s="1"/>
      <c r="L51" s="41">
        <f>375+78.84681+0.85</f>
        <v>454.69681000000003</v>
      </c>
      <c r="M51" s="44">
        <v>454.69681000000003</v>
      </c>
      <c r="N51" s="46">
        <f t="shared" si="3"/>
        <v>100</v>
      </c>
    </row>
    <row r="52" spans="1:14" ht="31.2" outlineLevel="6">
      <c r="A52" s="2" t="s">
        <v>61</v>
      </c>
      <c r="B52" s="1" t="s">
        <v>14</v>
      </c>
      <c r="C52" s="1" t="s">
        <v>18</v>
      </c>
      <c r="D52" s="1" t="s">
        <v>50</v>
      </c>
      <c r="E52" s="1" t="s">
        <v>62</v>
      </c>
      <c r="F52" s="1" t="s">
        <v>16</v>
      </c>
      <c r="G52" s="1"/>
      <c r="H52" s="1"/>
      <c r="I52" s="1"/>
      <c r="J52" s="1"/>
      <c r="K52" s="1"/>
      <c r="L52" s="41">
        <f>L53+L54</f>
        <v>2746.4999999999995</v>
      </c>
      <c r="M52" s="41">
        <f>M53+M54</f>
        <v>2746.5</v>
      </c>
      <c r="N52" s="46">
        <f t="shared" si="3"/>
        <v>100.00000000000003</v>
      </c>
    </row>
    <row r="53" spans="1:14" ht="109.2" outlineLevel="7">
      <c r="A53" s="2" t="s">
        <v>29</v>
      </c>
      <c r="B53" s="1" t="s">
        <v>14</v>
      </c>
      <c r="C53" s="1" t="s">
        <v>18</v>
      </c>
      <c r="D53" s="1" t="s">
        <v>50</v>
      </c>
      <c r="E53" s="1" t="s">
        <v>62</v>
      </c>
      <c r="F53" s="1" t="s">
        <v>30</v>
      </c>
      <c r="G53" s="1"/>
      <c r="H53" s="1"/>
      <c r="I53" s="1"/>
      <c r="J53" s="1"/>
      <c r="K53" s="1"/>
      <c r="L53" s="41">
        <f>2467.7+0.03788</f>
        <v>2467.7378799999997</v>
      </c>
      <c r="M53" s="44">
        <v>2467.7378800000001</v>
      </c>
      <c r="N53" s="46">
        <f t="shared" si="3"/>
        <v>100.00000000000003</v>
      </c>
    </row>
    <row r="54" spans="1:14" ht="46.8" outlineLevel="7">
      <c r="A54" s="2" t="s">
        <v>41</v>
      </c>
      <c r="B54" s="1" t="s">
        <v>14</v>
      </c>
      <c r="C54" s="1" t="s">
        <v>18</v>
      </c>
      <c r="D54" s="1" t="s">
        <v>50</v>
      </c>
      <c r="E54" s="1" t="s">
        <v>62</v>
      </c>
      <c r="F54" s="1" t="s">
        <v>42</v>
      </c>
      <c r="G54" s="1"/>
      <c r="H54" s="1"/>
      <c r="I54" s="1"/>
      <c r="J54" s="1"/>
      <c r="K54" s="1"/>
      <c r="L54" s="41">
        <f>278.8-0.03788</f>
        <v>278.76212000000004</v>
      </c>
      <c r="M54" s="44">
        <v>278.76211999999998</v>
      </c>
      <c r="N54" s="46">
        <f t="shared" si="3"/>
        <v>99.999999999999972</v>
      </c>
    </row>
    <row r="55" spans="1:14" ht="62.4" outlineLevel="5">
      <c r="A55" s="2" t="s">
        <v>63</v>
      </c>
      <c r="B55" s="1" t="s">
        <v>14</v>
      </c>
      <c r="C55" s="1" t="s">
        <v>18</v>
      </c>
      <c r="D55" s="1" t="s">
        <v>50</v>
      </c>
      <c r="E55" s="1" t="s">
        <v>64</v>
      </c>
      <c r="F55" s="1" t="s">
        <v>16</v>
      </c>
      <c r="G55" s="1"/>
      <c r="H55" s="1"/>
      <c r="I55" s="1"/>
      <c r="J55" s="1"/>
      <c r="K55" s="1"/>
      <c r="L55" s="41">
        <f>L56+L58</f>
        <v>975.37938999999994</v>
      </c>
      <c r="M55" s="41">
        <f>M56+M58</f>
        <v>963.77904999999998</v>
      </c>
      <c r="N55" s="46">
        <f t="shared" si="3"/>
        <v>98.810684322538336</v>
      </c>
    </row>
    <row r="56" spans="1:14" ht="62.4" outlineLevel="6">
      <c r="A56" s="2" t="s">
        <v>65</v>
      </c>
      <c r="B56" s="1" t="s">
        <v>14</v>
      </c>
      <c r="C56" s="1" t="s">
        <v>18</v>
      </c>
      <c r="D56" s="1" t="s">
        <v>50</v>
      </c>
      <c r="E56" s="1" t="s">
        <v>66</v>
      </c>
      <c r="F56" s="1" t="s">
        <v>16</v>
      </c>
      <c r="G56" s="1"/>
      <c r="H56" s="1"/>
      <c r="I56" s="1"/>
      <c r="J56" s="1"/>
      <c r="K56" s="1"/>
      <c r="L56" s="41">
        <f>L57</f>
        <v>795.37938999999994</v>
      </c>
      <c r="M56" s="41">
        <f>M57</f>
        <v>783.77904999999998</v>
      </c>
      <c r="N56" s="46">
        <f t="shared" si="3"/>
        <v>98.54153374529858</v>
      </c>
    </row>
    <row r="57" spans="1:14" ht="46.8" outlineLevel="7">
      <c r="A57" s="2" t="s">
        <v>41</v>
      </c>
      <c r="B57" s="1" t="s">
        <v>14</v>
      </c>
      <c r="C57" s="1" t="s">
        <v>18</v>
      </c>
      <c r="D57" s="1" t="s">
        <v>50</v>
      </c>
      <c r="E57" s="1" t="s">
        <v>66</v>
      </c>
      <c r="F57" s="1" t="s">
        <v>42</v>
      </c>
      <c r="G57" s="1"/>
      <c r="H57" s="1"/>
      <c r="I57" s="1"/>
      <c r="J57" s="1"/>
      <c r="K57" s="1"/>
      <c r="L57" s="41">
        <f>638.9+19.3+7.8954+112.311+16.97299</f>
        <v>795.37938999999994</v>
      </c>
      <c r="M57" s="44">
        <v>783.77904999999998</v>
      </c>
      <c r="N57" s="46">
        <f t="shared" si="3"/>
        <v>98.54153374529858</v>
      </c>
    </row>
    <row r="58" spans="1:14" ht="46.8" outlineLevel="6">
      <c r="A58" s="2" t="s">
        <v>67</v>
      </c>
      <c r="B58" s="1" t="s">
        <v>14</v>
      </c>
      <c r="C58" s="1" t="s">
        <v>18</v>
      </c>
      <c r="D58" s="1" t="s">
        <v>50</v>
      </c>
      <c r="E58" s="1" t="s">
        <v>68</v>
      </c>
      <c r="F58" s="1" t="s">
        <v>16</v>
      </c>
      <c r="G58" s="1"/>
      <c r="H58" s="1"/>
      <c r="I58" s="1"/>
      <c r="J58" s="1"/>
      <c r="K58" s="1"/>
      <c r="L58" s="41">
        <f>L59</f>
        <v>180</v>
      </c>
      <c r="M58" s="41">
        <f>M59</f>
        <v>180</v>
      </c>
      <c r="N58" s="46">
        <f t="shared" si="3"/>
        <v>100</v>
      </c>
    </row>
    <row r="59" spans="1:14" ht="46.8" outlineLevel="7">
      <c r="A59" s="2" t="s">
        <v>41</v>
      </c>
      <c r="B59" s="1" t="s">
        <v>14</v>
      </c>
      <c r="C59" s="1" t="s">
        <v>18</v>
      </c>
      <c r="D59" s="1" t="s">
        <v>50</v>
      </c>
      <c r="E59" s="1" t="s">
        <v>68</v>
      </c>
      <c r="F59" s="1" t="s">
        <v>42</v>
      </c>
      <c r="G59" s="1"/>
      <c r="H59" s="1"/>
      <c r="I59" s="1"/>
      <c r="J59" s="1"/>
      <c r="K59" s="1"/>
      <c r="L59" s="41">
        <v>180</v>
      </c>
      <c r="M59" s="44">
        <v>180</v>
      </c>
      <c r="N59" s="46">
        <f t="shared" si="3"/>
        <v>100</v>
      </c>
    </row>
    <row r="60" spans="1:14" ht="46.8" outlineLevel="5">
      <c r="A60" s="2" t="s">
        <v>69</v>
      </c>
      <c r="B60" s="1" t="s">
        <v>14</v>
      </c>
      <c r="C60" s="1" t="s">
        <v>18</v>
      </c>
      <c r="D60" s="1" t="s">
        <v>50</v>
      </c>
      <c r="E60" s="1" t="s">
        <v>70</v>
      </c>
      <c r="F60" s="1" t="s">
        <v>16</v>
      </c>
      <c r="G60" s="1"/>
      <c r="H60" s="1"/>
      <c r="I60" s="1"/>
      <c r="J60" s="1"/>
      <c r="K60" s="1"/>
      <c r="L60" s="41">
        <f>L61+L65+L70+L68</f>
        <v>33475.452699999994</v>
      </c>
      <c r="M60" s="41">
        <f>M61+M65+M70+M68</f>
        <v>31785.58496</v>
      </c>
      <c r="N60" s="46">
        <f t="shared" si="3"/>
        <v>94.951919679341643</v>
      </c>
    </row>
    <row r="61" spans="1:14" ht="46.8" outlineLevel="6">
      <c r="A61" s="2" t="s">
        <v>71</v>
      </c>
      <c r="B61" s="1" t="s">
        <v>14</v>
      </c>
      <c r="C61" s="1" t="s">
        <v>18</v>
      </c>
      <c r="D61" s="1" t="s">
        <v>50</v>
      </c>
      <c r="E61" s="1" t="s">
        <v>72</v>
      </c>
      <c r="F61" s="1" t="s">
        <v>16</v>
      </c>
      <c r="G61" s="1"/>
      <c r="H61" s="1"/>
      <c r="I61" s="1"/>
      <c r="J61" s="1"/>
      <c r="K61" s="1"/>
      <c r="L61" s="41">
        <f>L62+L63+L64</f>
        <v>32597.652739999998</v>
      </c>
      <c r="M61" s="41">
        <f>M62+M63+M64</f>
        <v>30910.985000000001</v>
      </c>
      <c r="N61" s="46">
        <f t="shared" si="3"/>
        <v>94.82580002476584</v>
      </c>
    </row>
    <row r="62" spans="1:14" ht="109.2" outlineLevel="7">
      <c r="A62" s="2" t="s">
        <v>29</v>
      </c>
      <c r="B62" s="1" t="s">
        <v>14</v>
      </c>
      <c r="C62" s="1" t="s">
        <v>18</v>
      </c>
      <c r="D62" s="1" t="s">
        <v>50</v>
      </c>
      <c r="E62" s="1" t="s">
        <v>72</v>
      </c>
      <c r="F62" s="1" t="s">
        <v>30</v>
      </c>
      <c r="G62" s="1"/>
      <c r="H62" s="1"/>
      <c r="I62" s="1"/>
      <c r="J62" s="1"/>
      <c r="K62" s="1"/>
      <c r="L62" s="41">
        <f>30684.2-458-556.7-150+344.77622-28.0658</f>
        <v>29836.210419999999</v>
      </c>
      <c r="M62" s="44">
        <v>28158.832330000001</v>
      </c>
      <c r="N62" s="46">
        <f t="shared" si="3"/>
        <v>94.378045782665453</v>
      </c>
    </row>
    <row r="63" spans="1:14" ht="46.8" outlineLevel="7">
      <c r="A63" s="2" t="s">
        <v>41</v>
      </c>
      <c r="B63" s="1" t="s">
        <v>14</v>
      </c>
      <c r="C63" s="1" t="s">
        <v>18</v>
      </c>
      <c r="D63" s="1" t="s">
        <v>50</v>
      </c>
      <c r="E63" s="1" t="s">
        <v>72</v>
      </c>
      <c r="F63" s="1" t="s">
        <v>42</v>
      </c>
      <c r="G63" s="1"/>
      <c r="H63" s="1"/>
      <c r="I63" s="1"/>
      <c r="J63" s="1"/>
      <c r="K63" s="1"/>
      <c r="L63" s="41">
        <f>1848+458+25+350+198.6+110.1+21.09+1.91-321.25768</f>
        <v>2691.4423199999997</v>
      </c>
      <c r="M63" s="44">
        <v>2683.9408400000002</v>
      </c>
      <c r="N63" s="46">
        <f t="shared" si="3"/>
        <v>99.721284013992943</v>
      </c>
    </row>
    <row r="64" spans="1:14" ht="15.6" outlineLevel="7">
      <c r="A64" s="2" t="s">
        <v>59</v>
      </c>
      <c r="B64" s="1" t="s">
        <v>14</v>
      </c>
      <c r="C64" s="1" t="s">
        <v>18</v>
      </c>
      <c r="D64" s="1" t="s">
        <v>50</v>
      </c>
      <c r="E64" s="1" t="s">
        <v>72</v>
      </c>
      <c r="F64" s="1" t="s">
        <v>60</v>
      </c>
      <c r="G64" s="1"/>
      <c r="H64" s="1"/>
      <c r="I64" s="1"/>
      <c r="J64" s="1"/>
      <c r="K64" s="1"/>
      <c r="L64" s="41">
        <f>20+50</f>
        <v>70</v>
      </c>
      <c r="M64" s="44">
        <v>68.211830000000006</v>
      </c>
      <c r="N64" s="46">
        <f t="shared" si="3"/>
        <v>97.445471428571437</v>
      </c>
    </row>
    <row r="65" spans="1:14" ht="31.2" outlineLevel="6">
      <c r="A65" s="2" t="s">
        <v>73</v>
      </c>
      <c r="B65" s="1" t="s">
        <v>14</v>
      </c>
      <c r="C65" s="1" t="s">
        <v>18</v>
      </c>
      <c r="D65" s="1" t="s">
        <v>50</v>
      </c>
      <c r="E65" s="1" t="s">
        <v>74</v>
      </c>
      <c r="F65" s="1" t="s">
        <v>16</v>
      </c>
      <c r="G65" s="1"/>
      <c r="H65" s="1"/>
      <c r="I65" s="1"/>
      <c r="J65" s="1"/>
      <c r="K65" s="1"/>
      <c r="L65" s="41">
        <f>L66+L67</f>
        <v>264.10000000000002</v>
      </c>
      <c r="M65" s="41">
        <f>M66+M67</f>
        <v>264.10000000000002</v>
      </c>
      <c r="N65" s="46">
        <f t="shared" si="3"/>
        <v>100</v>
      </c>
    </row>
    <row r="66" spans="1:14" ht="46.8" outlineLevel="7">
      <c r="A66" s="2" t="s">
        <v>41</v>
      </c>
      <c r="B66" s="1" t="s">
        <v>14</v>
      </c>
      <c r="C66" s="1" t="s">
        <v>18</v>
      </c>
      <c r="D66" s="1" t="s">
        <v>50</v>
      </c>
      <c r="E66" s="1" t="s">
        <v>74</v>
      </c>
      <c r="F66" s="1" t="s">
        <v>42</v>
      </c>
      <c r="G66" s="1"/>
      <c r="H66" s="1"/>
      <c r="I66" s="1"/>
      <c r="J66" s="1"/>
      <c r="K66" s="1"/>
      <c r="L66" s="41">
        <f>250-74+14.1</f>
        <v>190.1</v>
      </c>
      <c r="M66" s="44">
        <v>190.1</v>
      </c>
      <c r="N66" s="46">
        <f t="shared" si="3"/>
        <v>100</v>
      </c>
    </row>
    <row r="67" spans="1:14" ht="33.75" customHeight="1" outlineLevel="7">
      <c r="A67" s="2" t="s">
        <v>77</v>
      </c>
      <c r="B67" s="1" t="s">
        <v>14</v>
      </c>
      <c r="C67" s="1" t="s">
        <v>18</v>
      </c>
      <c r="D67" s="1" t="s">
        <v>50</v>
      </c>
      <c r="E67" s="1" t="s">
        <v>74</v>
      </c>
      <c r="F67" s="1" t="s">
        <v>78</v>
      </c>
      <c r="G67" s="1"/>
      <c r="H67" s="1"/>
      <c r="I67" s="1"/>
      <c r="J67" s="1"/>
      <c r="K67" s="1"/>
      <c r="L67" s="41">
        <v>74</v>
      </c>
      <c r="M67" s="44">
        <v>74</v>
      </c>
      <c r="N67" s="46">
        <f t="shared" si="3"/>
        <v>100</v>
      </c>
    </row>
    <row r="68" spans="1:14" ht="33.75" customHeight="1" outlineLevel="7">
      <c r="A68" s="2" t="s">
        <v>616</v>
      </c>
      <c r="B68" s="1" t="s">
        <v>14</v>
      </c>
      <c r="C68" s="1" t="s">
        <v>18</v>
      </c>
      <c r="D68" s="1" t="s">
        <v>50</v>
      </c>
      <c r="E68" s="1" t="s">
        <v>615</v>
      </c>
      <c r="F68" s="1" t="s">
        <v>16</v>
      </c>
      <c r="G68" s="1"/>
      <c r="H68" s="1"/>
      <c r="I68" s="1"/>
      <c r="J68" s="1"/>
      <c r="K68" s="1"/>
      <c r="L68" s="41">
        <f>L69</f>
        <v>114.69996</v>
      </c>
      <c r="M68" s="41">
        <f>M69</f>
        <v>111.49996</v>
      </c>
      <c r="N68" s="46">
        <f t="shared" ref="N68:N76" si="4">M68/L68*100</f>
        <v>97.210112366211803</v>
      </c>
    </row>
    <row r="69" spans="1:14" ht="33.75" customHeight="1" outlineLevel="7">
      <c r="A69" s="2" t="s">
        <v>59</v>
      </c>
      <c r="B69" s="1" t="s">
        <v>14</v>
      </c>
      <c r="C69" s="1" t="s">
        <v>18</v>
      </c>
      <c r="D69" s="1" t="s">
        <v>50</v>
      </c>
      <c r="E69" s="1" t="s">
        <v>615</v>
      </c>
      <c r="F69" s="1" t="s">
        <v>60</v>
      </c>
      <c r="G69" s="1"/>
      <c r="H69" s="1"/>
      <c r="I69" s="1"/>
      <c r="J69" s="1"/>
      <c r="K69" s="1"/>
      <c r="L69" s="41">
        <f>7+16.6+20+16.5+17.14996+0.3+6.45+0.3+13.2+17.2</f>
        <v>114.69996</v>
      </c>
      <c r="M69" s="44">
        <v>111.49996</v>
      </c>
      <c r="N69" s="46">
        <f t="shared" si="4"/>
        <v>97.210112366211803</v>
      </c>
    </row>
    <row r="70" spans="1:14" ht="78" outlineLevel="6">
      <c r="A70" s="2" t="s">
        <v>75</v>
      </c>
      <c r="B70" s="1" t="s">
        <v>14</v>
      </c>
      <c r="C70" s="1" t="s">
        <v>18</v>
      </c>
      <c r="D70" s="1" t="s">
        <v>50</v>
      </c>
      <c r="E70" s="1" t="s">
        <v>76</v>
      </c>
      <c r="F70" s="1" t="s">
        <v>16</v>
      </c>
      <c r="G70" s="1"/>
      <c r="H70" s="1"/>
      <c r="I70" s="1"/>
      <c r="J70" s="1"/>
      <c r="K70" s="1"/>
      <c r="L70" s="41">
        <f>L71</f>
        <v>499</v>
      </c>
      <c r="M70" s="41">
        <f>M71</f>
        <v>499</v>
      </c>
      <c r="N70" s="46">
        <f t="shared" si="4"/>
        <v>100</v>
      </c>
    </row>
    <row r="71" spans="1:14" ht="31.2" outlineLevel="7">
      <c r="A71" s="2" t="s">
        <v>77</v>
      </c>
      <c r="B71" s="1" t="s">
        <v>14</v>
      </c>
      <c r="C71" s="1" t="s">
        <v>18</v>
      </c>
      <c r="D71" s="1" t="s">
        <v>50</v>
      </c>
      <c r="E71" s="1" t="s">
        <v>76</v>
      </c>
      <c r="F71" s="1" t="s">
        <v>78</v>
      </c>
      <c r="G71" s="1"/>
      <c r="H71" s="1"/>
      <c r="I71" s="1"/>
      <c r="J71" s="1"/>
      <c r="K71" s="1"/>
      <c r="L71" s="41">
        <v>499</v>
      </c>
      <c r="M71" s="44">
        <v>499</v>
      </c>
      <c r="N71" s="46">
        <f t="shared" si="4"/>
        <v>100</v>
      </c>
    </row>
    <row r="72" spans="1:14" ht="78" outlineLevel="3">
      <c r="A72" s="2" t="s">
        <v>79</v>
      </c>
      <c r="B72" s="1" t="s">
        <v>14</v>
      </c>
      <c r="C72" s="1" t="s">
        <v>18</v>
      </c>
      <c r="D72" s="1" t="s">
        <v>50</v>
      </c>
      <c r="E72" s="1" t="s">
        <v>80</v>
      </c>
      <c r="F72" s="1" t="s">
        <v>16</v>
      </c>
      <c r="G72" s="1"/>
      <c r="H72" s="1"/>
      <c r="I72" s="1"/>
      <c r="J72" s="1"/>
      <c r="K72" s="1"/>
      <c r="L72" s="41">
        <f>L73</f>
        <v>3759.7443499999999</v>
      </c>
      <c r="M72" s="41">
        <f>M73</f>
        <v>3729.9182300000002</v>
      </c>
      <c r="N72" s="46">
        <f t="shared" si="4"/>
        <v>99.206698189465996</v>
      </c>
    </row>
    <row r="73" spans="1:14" ht="46.8" outlineLevel="5">
      <c r="A73" s="2" t="s">
        <v>69</v>
      </c>
      <c r="B73" s="1" t="s">
        <v>14</v>
      </c>
      <c r="C73" s="1" t="s">
        <v>18</v>
      </c>
      <c r="D73" s="1" t="s">
        <v>50</v>
      </c>
      <c r="E73" s="1" t="s">
        <v>82</v>
      </c>
      <c r="F73" s="1" t="s">
        <v>16</v>
      </c>
      <c r="G73" s="1"/>
      <c r="H73" s="1"/>
      <c r="I73" s="1"/>
      <c r="J73" s="1"/>
      <c r="K73" s="1"/>
      <c r="L73" s="41">
        <f>L74</f>
        <v>3759.7443499999999</v>
      </c>
      <c r="M73" s="41">
        <f>M74</f>
        <v>3729.9182300000002</v>
      </c>
      <c r="N73" s="46">
        <f t="shared" si="4"/>
        <v>99.206698189465996</v>
      </c>
    </row>
    <row r="74" spans="1:14" ht="46.8" outlineLevel="6">
      <c r="A74" s="2" t="s">
        <v>71</v>
      </c>
      <c r="B74" s="1" t="s">
        <v>14</v>
      </c>
      <c r="C74" s="1" t="s">
        <v>18</v>
      </c>
      <c r="D74" s="1" t="s">
        <v>50</v>
      </c>
      <c r="E74" s="1" t="s">
        <v>83</v>
      </c>
      <c r="F74" s="1" t="s">
        <v>16</v>
      </c>
      <c r="G74" s="1"/>
      <c r="H74" s="1"/>
      <c r="I74" s="1"/>
      <c r="J74" s="1"/>
      <c r="K74" s="1"/>
      <c r="L74" s="41">
        <f>L75+L76</f>
        <v>3759.7443499999999</v>
      </c>
      <c r="M74" s="41">
        <f>M75+M76</f>
        <v>3729.9182300000002</v>
      </c>
      <c r="N74" s="46">
        <f t="shared" si="4"/>
        <v>99.206698189465996</v>
      </c>
    </row>
    <row r="75" spans="1:14" ht="109.2" outlineLevel="7">
      <c r="A75" s="2" t="s">
        <v>29</v>
      </c>
      <c r="B75" s="1" t="s">
        <v>14</v>
      </c>
      <c r="C75" s="1" t="s">
        <v>18</v>
      </c>
      <c r="D75" s="1" t="s">
        <v>50</v>
      </c>
      <c r="E75" s="1" t="s">
        <v>83</v>
      </c>
      <c r="F75" s="1" t="s">
        <v>30</v>
      </c>
      <c r="G75" s="1"/>
      <c r="H75" s="1"/>
      <c r="I75" s="1"/>
      <c r="J75" s="1"/>
      <c r="K75" s="1"/>
      <c r="L75" s="41">
        <f>3015.1-140+77.20017</f>
        <v>2952.30017</v>
      </c>
      <c r="M75" s="44">
        <v>2952.30017</v>
      </c>
      <c r="N75" s="46">
        <f t="shared" si="4"/>
        <v>100</v>
      </c>
    </row>
    <row r="76" spans="1:14" ht="46.8" outlineLevel="7">
      <c r="A76" s="2" t="s">
        <v>41</v>
      </c>
      <c r="B76" s="1" t="s">
        <v>14</v>
      </c>
      <c r="C76" s="1" t="s">
        <v>18</v>
      </c>
      <c r="D76" s="1" t="s">
        <v>50</v>
      </c>
      <c r="E76" s="1" t="s">
        <v>83</v>
      </c>
      <c r="F76" s="1" t="s">
        <v>42</v>
      </c>
      <c r="G76" s="1"/>
      <c r="H76" s="1"/>
      <c r="I76" s="1"/>
      <c r="J76" s="1"/>
      <c r="K76" s="1"/>
      <c r="L76" s="41">
        <f>417.2+306+110-25.75582</f>
        <v>807.44418000000007</v>
      </c>
      <c r="M76" s="44">
        <v>777.61806000000001</v>
      </c>
      <c r="N76" s="46">
        <f t="shared" si="4"/>
        <v>96.306107500830578</v>
      </c>
    </row>
    <row r="77" spans="1:14" ht="124.8" outlineLevel="3">
      <c r="A77" s="2" t="s">
        <v>84</v>
      </c>
      <c r="B77" s="1" t="s">
        <v>14</v>
      </c>
      <c r="C77" s="1" t="s">
        <v>18</v>
      </c>
      <c r="D77" s="1" t="s">
        <v>50</v>
      </c>
      <c r="E77" s="1" t="s">
        <v>85</v>
      </c>
      <c r="F77" s="1" t="s">
        <v>16</v>
      </c>
      <c r="G77" s="1"/>
      <c r="H77" s="1"/>
      <c r="I77" s="1"/>
      <c r="J77" s="1"/>
      <c r="K77" s="1"/>
      <c r="L77" s="41">
        <f t="shared" ref="L77:M79" si="5">L78</f>
        <v>4256</v>
      </c>
      <c r="M77" s="41">
        <f t="shared" si="5"/>
        <v>4215.5786600000001</v>
      </c>
      <c r="N77" s="46">
        <f t="shared" ref="N77:N112" si="6">M77/L77*100</f>
        <v>99.050250469924819</v>
      </c>
    </row>
    <row r="78" spans="1:14" ht="113.25" customHeight="1" outlineLevel="5">
      <c r="A78" s="2" t="s">
        <v>86</v>
      </c>
      <c r="B78" s="1" t="s">
        <v>14</v>
      </c>
      <c r="C78" s="1" t="s">
        <v>18</v>
      </c>
      <c r="D78" s="1" t="s">
        <v>50</v>
      </c>
      <c r="E78" s="1" t="s">
        <v>87</v>
      </c>
      <c r="F78" s="1" t="s">
        <v>16</v>
      </c>
      <c r="G78" s="1"/>
      <c r="H78" s="1"/>
      <c r="I78" s="1"/>
      <c r="J78" s="1"/>
      <c r="K78" s="1"/>
      <c r="L78" s="41">
        <f t="shared" si="5"/>
        <v>4256</v>
      </c>
      <c r="M78" s="41">
        <f t="shared" si="5"/>
        <v>4215.5786600000001</v>
      </c>
      <c r="N78" s="46">
        <f t="shared" si="6"/>
        <v>99.050250469924819</v>
      </c>
    </row>
    <row r="79" spans="1:14" ht="62.4" outlineLevel="6">
      <c r="A79" s="2" t="s">
        <v>88</v>
      </c>
      <c r="B79" s="1" t="s">
        <v>14</v>
      </c>
      <c r="C79" s="1" t="s">
        <v>18</v>
      </c>
      <c r="D79" s="1" t="s">
        <v>50</v>
      </c>
      <c r="E79" s="1" t="s">
        <v>89</v>
      </c>
      <c r="F79" s="1" t="s">
        <v>16</v>
      </c>
      <c r="G79" s="1"/>
      <c r="H79" s="1"/>
      <c r="I79" s="1"/>
      <c r="J79" s="1"/>
      <c r="K79" s="1"/>
      <c r="L79" s="41">
        <f t="shared" si="5"/>
        <v>4256</v>
      </c>
      <c r="M79" s="41">
        <f t="shared" si="5"/>
        <v>4215.5786600000001</v>
      </c>
      <c r="N79" s="46">
        <f t="shared" si="6"/>
        <v>99.050250469924819</v>
      </c>
    </row>
    <row r="80" spans="1:14" ht="58.5" customHeight="1" outlineLevel="7">
      <c r="A80" s="2" t="s">
        <v>90</v>
      </c>
      <c r="B80" s="1" t="s">
        <v>14</v>
      </c>
      <c r="C80" s="1" t="s">
        <v>18</v>
      </c>
      <c r="D80" s="1" t="s">
        <v>50</v>
      </c>
      <c r="E80" s="1" t="s">
        <v>89</v>
      </c>
      <c r="F80" s="1" t="s">
        <v>91</v>
      </c>
      <c r="G80" s="1"/>
      <c r="H80" s="1"/>
      <c r="I80" s="1"/>
      <c r="J80" s="1"/>
      <c r="K80" s="1"/>
      <c r="L80" s="41">
        <v>4256</v>
      </c>
      <c r="M80" s="44">
        <v>4215.5786600000001</v>
      </c>
      <c r="N80" s="46">
        <f t="shared" si="6"/>
        <v>99.050250469924819</v>
      </c>
    </row>
    <row r="81" spans="1:14" ht="46.8" outlineLevel="1">
      <c r="A81" s="3" t="s">
        <v>92</v>
      </c>
      <c r="B81" s="4" t="s">
        <v>14</v>
      </c>
      <c r="C81" s="4" t="s">
        <v>93</v>
      </c>
      <c r="D81" s="4"/>
      <c r="E81" s="4"/>
      <c r="F81" s="4"/>
      <c r="G81" s="4"/>
      <c r="H81" s="4"/>
      <c r="I81" s="4"/>
      <c r="J81" s="4"/>
      <c r="K81" s="4"/>
      <c r="L81" s="39">
        <f t="shared" ref="L81:M86" si="7">L82</f>
        <v>490</v>
      </c>
      <c r="M81" s="39">
        <f t="shared" si="7"/>
        <v>490</v>
      </c>
      <c r="N81" s="49">
        <f t="shared" si="6"/>
        <v>100</v>
      </c>
    </row>
    <row r="82" spans="1:14" ht="46.8" outlineLevel="2">
      <c r="A82" s="5" t="s">
        <v>94</v>
      </c>
      <c r="B82" s="6" t="s">
        <v>14</v>
      </c>
      <c r="C82" s="6" t="s">
        <v>93</v>
      </c>
      <c r="D82" s="6" t="s">
        <v>95</v>
      </c>
      <c r="E82" s="6"/>
      <c r="F82" s="6"/>
      <c r="G82" s="6"/>
      <c r="H82" s="6"/>
      <c r="I82" s="6"/>
      <c r="J82" s="6"/>
      <c r="K82" s="6"/>
      <c r="L82" s="40">
        <f t="shared" si="7"/>
        <v>490</v>
      </c>
      <c r="M82" s="40">
        <f t="shared" si="7"/>
        <v>490</v>
      </c>
      <c r="N82" s="47">
        <f t="shared" si="6"/>
        <v>100</v>
      </c>
    </row>
    <row r="83" spans="1:14" ht="46.8" outlineLevel="3">
      <c r="A83" s="2" t="s">
        <v>21</v>
      </c>
      <c r="B83" s="1" t="s">
        <v>14</v>
      </c>
      <c r="C83" s="1" t="s">
        <v>93</v>
      </c>
      <c r="D83" s="1" t="s">
        <v>95</v>
      </c>
      <c r="E83" s="1" t="s">
        <v>22</v>
      </c>
      <c r="F83" s="1" t="s">
        <v>16</v>
      </c>
      <c r="G83" s="1"/>
      <c r="H83" s="1"/>
      <c r="I83" s="1"/>
      <c r="J83" s="1"/>
      <c r="K83" s="1"/>
      <c r="L83" s="41">
        <f t="shared" si="7"/>
        <v>490</v>
      </c>
      <c r="M83" s="41">
        <f t="shared" si="7"/>
        <v>490</v>
      </c>
      <c r="N83" s="46">
        <f t="shared" si="6"/>
        <v>100</v>
      </c>
    </row>
    <row r="84" spans="1:14" ht="63.75" customHeight="1" outlineLevel="4">
      <c r="A84" s="2" t="s">
        <v>53</v>
      </c>
      <c r="B84" s="1" t="s">
        <v>14</v>
      </c>
      <c r="C84" s="1" t="s">
        <v>93</v>
      </c>
      <c r="D84" s="1" t="s">
        <v>95</v>
      </c>
      <c r="E84" s="1" t="s">
        <v>54</v>
      </c>
      <c r="F84" s="1" t="s">
        <v>16</v>
      </c>
      <c r="G84" s="1"/>
      <c r="H84" s="1"/>
      <c r="I84" s="1"/>
      <c r="J84" s="1"/>
      <c r="K84" s="1"/>
      <c r="L84" s="41">
        <f t="shared" si="7"/>
        <v>490</v>
      </c>
      <c r="M84" s="41">
        <f t="shared" si="7"/>
        <v>490</v>
      </c>
      <c r="N84" s="46">
        <f t="shared" si="6"/>
        <v>100</v>
      </c>
    </row>
    <row r="85" spans="1:14" ht="31.2" outlineLevel="5">
      <c r="A85" s="2" t="s">
        <v>96</v>
      </c>
      <c r="B85" s="1" t="s">
        <v>14</v>
      </c>
      <c r="C85" s="1" t="s">
        <v>93</v>
      </c>
      <c r="D85" s="1" t="s">
        <v>95</v>
      </c>
      <c r="E85" s="1" t="s">
        <v>97</v>
      </c>
      <c r="F85" s="1" t="s">
        <v>16</v>
      </c>
      <c r="G85" s="1"/>
      <c r="H85" s="1"/>
      <c r="I85" s="1"/>
      <c r="J85" s="1"/>
      <c r="K85" s="1"/>
      <c r="L85" s="41">
        <f t="shared" si="7"/>
        <v>490</v>
      </c>
      <c r="M85" s="41">
        <f t="shared" si="7"/>
        <v>490</v>
      </c>
      <c r="N85" s="46">
        <f t="shared" si="6"/>
        <v>100</v>
      </c>
    </row>
    <row r="86" spans="1:14" ht="31.2" outlineLevel="6">
      <c r="A86" s="2" t="s">
        <v>98</v>
      </c>
      <c r="B86" s="1" t="s">
        <v>14</v>
      </c>
      <c r="C86" s="1" t="s">
        <v>93</v>
      </c>
      <c r="D86" s="1" t="s">
        <v>95</v>
      </c>
      <c r="E86" s="1" t="s">
        <v>99</v>
      </c>
      <c r="F86" s="1" t="s">
        <v>16</v>
      </c>
      <c r="G86" s="1"/>
      <c r="H86" s="1"/>
      <c r="I86" s="1"/>
      <c r="J86" s="1"/>
      <c r="K86" s="1"/>
      <c r="L86" s="41">
        <f t="shared" si="7"/>
        <v>490</v>
      </c>
      <c r="M86" s="41">
        <f t="shared" si="7"/>
        <v>490</v>
      </c>
      <c r="N86" s="46">
        <f t="shared" si="6"/>
        <v>100</v>
      </c>
    </row>
    <row r="87" spans="1:14" ht="31.2" outlineLevel="7">
      <c r="A87" s="2" t="s">
        <v>77</v>
      </c>
      <c r="B87" s="1" t="s">
        <v>14</v>
      </c>
      <c r="C87" s="1" t="s">
        <v>93</v>
      </c>
      <c r="D87" s="1" t="s">
        <v>95</v>
      </c>
      <c r="E87" s="1" t="s">
        <v>99</v>
      </c>
      <c r="F87" s="1" t="s">
        <v>78</v>
      </c>
      <c r="G87" s="1"/>
      <c r="H87" s="1"/>
      <c r="I87" s="1"/>
      <c r="J87" s="1"/>
      <c r="K87" s="1"/>
      <c r="L87" s="41">
        <v>490</v>
      </c>
      <c r="M87" s="44">
        <v>490</v>
      </c>
      <c r="N87" s="46">
        <f t="shared" si="6"/>
        <v>100</v>
      </c>
    </row>
    <row r="88" spans="1:14" ht="15.6" outlineLevel="1">
      <c r="A88" s="3" t="s">
        <v>100</v>
      </c>
      <c r="B88" s="4" t="s">
        <v>14</v>
      </c>
      <c r="C88" s="4" t="s">
        <v>32</v>
      </c>
      <c r="D88" s="4"/>
      <c r="E88" s="4"/>
      <c r="F88" s="4"/>
      <c r="G88" s="4"/>
      <c r="H88" s="4"/>
      <c r="I88" s="4"/>
      <c r="J88" s="4"/>
      <c r="K88" s="4"/>
      <c r="L88" s="39">
        <f>L89+L99</f>
        <v>984.69599999999991</v>
      </c>
      <c r="M88" s="39">
        <f>M89+M99</f>
        <v>984.69599999999991</v>
      </c>
      <c r="N88" s="49">
        <f t="shared" si="6"/>
        <v>100</v>
      </c>
    </row>
    <row r="89" spans="1:14" ht="15.6" outlineLevel="2">
      <c r="A89" s="5" t="s">
        <v>101</v>
      </c>
      <c r="B89" s="6" t="s">
        <v>14</v>
      </c>
      <c r="C89" s="6" t="s">
        <v>32</v>
      </c>
      <c r="D89" s="6" t="s">
        <v>46</v>
      </c>
      <c r="E89" s="6"/>
      <c r="F89" s="6"/>
      <c r="G89" s="6"/>
      <c r="H89" s="6"/>
      <c r="I89" s="6"/>
      <c r="J89" s="6"/>
      <c r="K89" s="6"/>
      <c r="L89" s="40">
        <f t="shared" ref="L89:M91" si="8">L90</f>
        <v>4.0159999999999991</v>
      </c>
      <c r="M89" s="40">
        <f t="shared" si="8"/>
        <v>4.016</v>
      </c>
      <c r="N89" s="47">
        <f t="shared" si="6"/>
        <v>100.00000000000003</v>
      </c>
    </row>
    <row r="90" spans="1:14" ht="46.8" outlineLevel="3">
      <c r="A90" s="2" t="s">
        <v>21</v>
      </c>
      <c r="B90" s="1" t="s">
        <v>14</v>
      </c>
      <c r="C90" s="1" t="s">
        <v>32</v>
      </c>
      <c r="D90" s="1" t="s">
        <v>46</v>
      </c>
      <c r="E90" s="1" t="s">
        <v>22</v>
      </c>
      <c r="F90" s="1" t="s">
        <v>16</v>
      </c>
      <c r="G90" s="1"/>
      <c r="H90" s="1"/>
      <c r="I90" s="1"/>
      <c r="J90" s="1"/>
      <c r="K90" s="1"/>
      <c r="L90" s="41">
        <f t="shared" si="8"/>
        <v>4.0159999999999991</v>
      </c>
      <c r="M90" s="41">
        <f t="shared" si="8"/>
        <v>4.016</v>
      </c>
      <c r="N90" s="46">
        <f t="shared" si="6"/>
        <v>100.00000000000003</v>
      </c>
    </row>
    <row r="91" spans="1:14" ht="62.4" outlineLevel="4">
      <c r="A91" s="2" t="s">
        <v>23</v>
      </c>
      <c r="B91" s="1" t="s">
        <v>14</v>
      </c>
      <c r="C91" s="1" t="s">
        <v>32</v>
      </c>
      <c r="D91" s="1" t="s">
        <v>46</v>
      </c>
      <c r="E91" s="1" t="s">
        <v>24</v>
      </c>
      <c r="F91" s="1" t="s">
        <v>16</v>
      </c>
      <c r="G91" s="1"/>
      <c r="H91" s="1"/>
      <c r="I91" s="1"/>
      <c r="J91" s="1"/>
      <c r="K91" s="1"/>
      <c r="L91" s="41">
        <f t="shared" si="8"/>
        <v>4.0159999999999991</v>
      </c>
      <c r="M91" s="41">
        <f t="shared" si="8"/>
        <v>4.016</v>
      </c>
      <c r="N91" s="46">
        <f t="shared" si="6"/>
        <v>100.00000000000003</v>
      </c>
    </row>
    <row r="92" spans="1:14" ht="78" outlineLevel="5">
      <c r="A92" s="2" t="s">
        <v>37</v>
      </c>
      <c r="B92" s="1" t="s">
        <v>14</v>
      </c>
      <c r="C92" s="1" t="s">
        <v>32</v>
      </c>
      <c r="D92" s="1" t="s">
        <v>46</v>
      </c>
      <c r="E92" s="1" t="s">
        <v>38</v>
      </c>
      <c r="F92" s="1" t="s">
        <v>16</v>
      </c>
      <c r="G92" s="1"/>
      <c r="H92" s="1"/>
      <c r="I92" s="1"/>
      <c r="J92" s="1"/>
      <c r="K92" s="1"/>
      <c r="L92" s="41">
        <f>L93+L95+L97</f>
        <v>4.0159999999999991</v>
      </c>
      <c r="M92" s="41">
        <f>M93+M95+M97</f>
        <v>4.016</v>
      </c>
      <c r="N92" s="46">
        <f t="shared" si="6"/>
        <v>100.00000000000003</v>
      </c>
    </row>
    <row r="93" spans="1:14" ht="62.4" outlineLevel="6">
      <c r="A93" s="2" t="s">
        <v>102</v>
      </c>
      <c r="B93" s="1" t="s">
        <v>14</v>
      </c>
      <c r="C93" s="1" t="s">
        <v>32</v>
      </c>
      <c r="D93" s="1" t="s">
        <v>46</v>
      </c>
      <c r="E93" s="1" t="s">
        <v>634</v>
      </c>
      <c r="F93" s="1" t="s">
        <v>16</v>
      </c>
      <c r="G93" s="1"/>
      <c r="H93" s="1"/>
      <c r="I93" s="1"/>
      <c r="J93" s="1"/>
      <c r="K93" s="1"/>
      <c r="L93" s="41">
        <f>L94</f>
        <v>3.8140000000000001</v>
      </c>
      <c r="M93" s="41">
        <f>M94</f>
        <v>3.8140000000000001</v>
      </c>
      <c r="N93" s="46">
        <f t="shared" si="6"/>
        <v>100</v>
      </c>
    </row>
    <row r="94" spans="1:14" ht="15.6" outlineLevel="7">
      <c r="A94" s="2" t="s">
        <v>59</v>
      </c>
      <c r="B94" s="1" t="s">
        <v>14</v>
      </c>
      <c r="C94" s="1" t="s">
        <v>32</v>
      </c>
      <c r="D94" s="1" t="s">
        <v>46</v>
      </c>
      <c r="E94" s="1" t="s">
        <v>634</v>
      </c>
      <c r="F94" s="1" t="s">
        <v>60</v>
      </c>
      <c r="G94" s="1"/>
      <c r="H94" s="1"/>
      <c r="I94" s="1"/>
      <c r="J94" s="1"/>
      <c r="K94" s="1"/>
      <c r="L94" s="41">
        <f>33-30+0.814</f>
        <v>3.8140000000000001</v>
      </c>
      <c r="M94" s="44">
        <v>3.8140000000000001</v>
      </c>
      <c r="N94" s="46">
        <f t="shared" si="6"/>
        <v>100</v>
      </c>
    </row>
    <row r="95" spans="1:14" ht="46.8" hidden="1" outlineLevel="6">
      <c r="A95" s="2" t="s">
        <v>103</v>
      </c>
      <c r="B95" s="1" t="s">
        <v>14</v>
      </c>
      <c r="C95" s="1" t="s">
        <v>32</v>
      </c>
      <c r="D95" s="1" t="s">
        <v>46</v>
      </c>
      <c r="E95" s="1" t="s">
        <v>104</v>
      </c>
      <c r="F95" s="1" t="s">
        <v>16</v>
      </c>
      <c r="G95" s="1"/>
      <c r="H95" s="1"/>
      <c r="I95" s="1"/>
      <c r="J95" s="1"/>
      <c r="K95" s="1"/>
      <c r="L95" s="41">
        <f>L96</f>
        <v>0</v>
      </c>
      <c r="M95" s="44"/>
      <c r="N95" s="46" t="e">
        <f t="shared" si="6"/>
        <v>#DIV/0!</v>
      </c>
    </row>
    <row r="96" spans="1:14" ht="46.8" hidden="1" outlineLevel="7">
      <c r="A96" s="2" t="s">
        <v>41</v>
      </c>
      <c r="B96" s="1" t="s">
        <v>14</v>
      </c>
      <c r="C96" s="1" t="s">
        <v>32</v>
      </c>
      <c r="D96" s="1" t="s">
        <v>46</v>
      </c>
      <c r="E96" s="1" t="s">
        <v>104</v>
      </c>
      <c r="F96" s="1" t="s">
        <v>42</v>
      </c>
      <c r="G96" s="1"/>
      <c r="H96" s="1"/>
      <c r="I96" s="1"/>
      <c r="J96" s="1"/>
      <c r="K96" s="1"/>
      <c r="L96" s="41">
        <v>0</v>
      </c>
      <c r="M96" s="44"/>
      <c r="N96" s="46" t="e">
        <f t="shared" si="6"/>
        <v>#DIV/0!</v>
      </c>
    </row>
    <row r="97" spans="1:14" ht="62.4" outlineLevel="6" collapsed="1">
      <c r="A97" s="2" t="s">
        <v>102</v>
      </c>
      <c r="B97" s="1" t="s">
        <v>14</v>
      </c>
      <c r="C97" s="1" t="s">
        <v>32</v>
      </c>
      <c r="D97" s="1" t="s">
        <v>46</v>
      </c>
      <c r="E97" s="1" t="s">
        <v>105</v>
      </c>
      <c r="F97" s="1" t="s">
        <v>16</v>
      </c>
      <c r="G97" s="1"/>
      <c r="H97" s="1"/>
      <c r="I97" s="1"/>
      <c r="J97" s="1"/>
      <c r="K97" s="1"/>
      <c r="L97" s="41">
        <f>L98</f>
        <v>0.20199999999999929</v>
      </c>
      <c r="M97" s="41">
        <f>M98</f>
        <v>0.20200000000000001</v>
      </c>
      <c r="N97" s="46">
        <f t="shared" si="6"/>
        <v>100.00000000000036</v>
      </c>
    </row>
    <row r="98" spans="1:14" ht="15.6" outlineLevel="7">
      <c r="A98" s="2" t="s">
        <v>59</v>
      </c>
      <c r="B98" s="1" t="s">
        <v>14</v>
      </c>
      <c r="C98" s="1" t="s">
        <v>32</v>
      </c>
      <c r="D98" s="1" t="s">
        <v>46</v>
      </c>
      <c r="E98" s="1" t="s">
        <v>105</v>
      </c>
      <c r="F98" s="1" t="s">
        <v>60</v>
      </c>
      <c r="G98" s="1"/>
      <c r="H98" s="1"/>
      <c r="I98" s="1"/>
      <c r="J98" s="1"/>
      <c r="K98" s="1"/>
      <c r="L98" s="41">
        <f>15.2-15+0.002</f>
        <v>0.20199999999999929</v>
      </c>
      <c r="M98" s="44">
        <v>0.20200000000000001</v>
      </c>
      <c r="N98" s="46">
        <f t="shared" si="6"/>
        <v>100.00000000000036</v>
      </c>
    </row>
    <row r="99" spans="1:14" ht="31.2" outlineLevel="2">
      <c r="A99" s="5" t="s">
        <v>106</v>
      </c>
      <c r="B99" s="6" t="s">
        <v>14</v>
      </c>
      <c r="C99" s="6" t="s">
        <v>32</v>
      </c>
      <c r="D99" s="6" t="s">
        <v>107</v>
      </c>
      <c r="E99" s="6"/>
      <c r="F99" s="6"/>
      <c r="G99" s="6"/>
      <c r="H99" s="6"/>
      <c r="I99" s="6"/>
      <c r="J99" s="6"/>
      <c r="K99" s="6"/>
      <c r="L99" s="40">
        <f>L107+L100</f>
        <v>980.68</v>
      </c>
      <c r="M99" s="40">
        <f>M107+M100</f>
        <v>980.68</v>
      </c>
      <c r="N99" s="47">
        <f t="shared" si="6"/>
        <v>100</v>
      </c>
    </row>
    <row r="100" spans="1:14" ht="46.8" hidden="1" outlineLevel="2">
      <c r="A100" s="2" t="s">
        <v>21</v>
      </c>
      <c r="B100" s="1" t="s">
        <v>14</v>
      </c>
      <c r="C100" s="1" t="s">
        <v>32</v>
      </c>
      <c r="D100" s="1" t="s">
        <v>107</v>
      </c>
      <c r="E100" s="1" t="s">
        <v>22</v>
      </c>
      <c r="F100" s="1" t="s">
        <v>16</v>
      </c>
      <c r="G100" s="6"/>
      <c r="H100" s="6"/>
      <c r="I100" s="6"/>
      <c r="J100" s="6"/>
      <c r="K100" s="6"/>
      <c r="L100" s="41">
        <f>L101</f>
        <v>0</v>
      </c>
      <c r="M100" s="41">
        <f>M101</f>
        <v>0</v>
      </c>
      <c r="N100" s="46" t="e">
        <f t="shared" si="6"/>
        <v>#DIV/0!</v>
      </c>
    </row>
    <row r="101" spans="1:14" ht="62.4" hidden="1" outlineLevel="2">
      <c r="A101" s="2" t="s">
        <v>23</v>
      </c>
      <c r="B101" s="1" t="s">
        <v>14</v>
      </c>
      <c r="C101" s="1" t="s">
        <v>32</v>
      </c>
      <c r="D101" s="1" t="s">
        <v>107</v>
      </c>
      <c r="E101" s="1" t="s">
        <v>24</v>
      </c>
      <c r="F101" s="1" t="s">
        <v>16</v>
      </c>
      <c r="G101" s="6"/>
      <c r="H101" s="6"/>
      <c r="I101" s="6"/>
      <c r="J101" s="6"/>
      <c r="K101" s="6"/>
      <c r="L101" s="41">
        <f>L102</f>
        <v>0</v>
      </c>
      <c r="M101" s="41">
        <f>M102</f>
        <v>0</v>
      </c>
      <c r="N101" s="46" t="e">
        <f t="shared" si="6"/>
        <v>#DIV/0!</v>
      </c>
    </row>
    <row r="102" spans="1:14" ht="31.2" hidden="1" outlineLevel="2">
      <c r="A102" s="2" t="s">
        <v>25</v>
      </c>
      <c r="B102" s="1" t="s">
        <v>14</v>
      </c>
      <c r="C102" s="1" t="s">
        <v>32</v>
      </c>
      <c r="D102" s="1" t="s">
        <v>107</v>
      </c>
      <c r="E102" s="1" t="s">
        <v>26</v>
      </c>
      <c r="F102" s="1" t="s">
        <v>16</v>
      </c>
      <c r="G102" s="6"/>
      <c r="H102" s="6"/>
      <c r="I102" s="6"/>
      <c r="J102" s="6"/>
      <c r="K102" s="6"/>
      <c r="L102" s="41">
        <f>L103+L105</f>
        <v>0</v>
      </c>
      <c r="M102" s="41">
        <f>M103+M105</f>
        <v>0</v>
      </c>
      <c r="N102" s="46" t="e">
        <f t="shared" si="6"/>
        <v>#DIV/0!</v>
      </c>
    </row>
    <row r="103" spans="1:14" ht="62.4" hidden="1" outlineLevel="2">
      <c r="A103" s="2" t="s">
        <v>630</v>
      </c>
      <c r="B103" s="1" t="s">
        <v>14</v>
      </c>
      <c r="C103" s="1" t="s">
        <v>32</v>
      </c>
      <c r="D103" s="1" t="s">
        <v>107</v>
      </c>
      <c r="E103" s="1" t="s">
        <v>631</v>
      </c>
      <c r="F103" s="1" t="s">
        <v>16</v>
      </c>
      <c r="G103" s="1"/>
      <c r="H103" s="1"/>
      <c r="I103" s="1"/>
      <c r="J103" s="1"/>
      <c r="K103" s="1"/>
      <c r="L103" s="41">
        <f>L104</f>
        <v>0</v>
      </c>
      <c r="M103" s="41">
        <f>M104</f>
        <v>0</v>
      </c>
      <c r="N103" s="46" t="e">
        <f t="shared" si="6"/>
        <v>#DIV/0!</v>
      </c>
    </row>
    <row r="104" spans="1:14" ht="46.8" hidden="1" outlineLevel="2">
      <c r="A104" s="2" t="s">
        <v>41</v>
      </c>
      <c r="B104" s="1" t="s">
        <v>14</v>
      </c>
      <c r="C104" s="1" t="s">
        <v>32</v>
      </c>
      <c r="D104" s="1" t="s">
        <v>107</v>
      </c>
      <c r="E104" s="1" t="s">
        <v>631</v>
      </c>
      <c r="F104" s="1" t="s">
        <v>42</v>
      </c>
      <c r="G104" s="1"/>
      <c r="H104" s="1"/>
      <c r="I104" s="1"/>
      <c r="J104" s="1"/>
      <c r="K104" s="1"/>
      <c r="L104" s="41">
        <f>300-300</f>
        <v>0</v>
      </c>
      <c r="M104" s="41">
        <f>300-300</f>
        <v>0</v>
      </c>
      <c r="N104" s="46" t="e">
        <f t="shared" si="6"/>
        <v>#DIV/0!</v>
      </c>
    </row>
    <row r="105" spans="1:14" ht="31.2" hidden="1" outlineLevel="2">
      <c r="A105" s="2" t="s">
        <v>633</v>
      </c>
      <c r="B105" s="1" t="s">
        <v>14</v>
      </c>
      <c r="C105" s="1" t="s">
        <v>32</v>
      </c>
      <c r="D105" s="1" t="s">
        <v>107</v>
      </c>
      <c r="E105" s="1" t="s">
        <v>632</v>
      </c>
      <c r="F105" s="1" t="s">
        <v>16</v>
      </c>
      <c r="G105" s="1"/>
      <c r="H105" s="1"/>
      <c r="I105" s="1"/>
      <c r="J105" s="1"/>
      <c r="K105" s="1"/>
      <c r="L105" s="41">
        <f>L106</f>
        <v>0</v>
      </c>
      <c r="M105" s="41">
        <f>M106</f>
        <v>0</v>
      </c>
      <c r="N105" s="46" t="e">
        <f t="shared" si="6"/>
        <v>#DIV/0!</v>
      </c>
    </row>
    <row r="106" spans="1:14" ht="46.8" hidden="1" outlineLevel="2">
      <c r="A106" s="2" t="s">
        <v>41</v>
      </c>
      <c r="B106" s="1" t="s">
        <v>14</v>
      </c>
      <c r="C106" s="1" t="s">
        <v>32</v>
      </c>
      <c r="D106" s="1" t="s">
        <v>107</v>
      </c>
      <c r="E106" s="1" t="s">
        <v>632</v>
      </c>
      <c r="F106" s="1" t="s">
        <v>42</v>
      </c>
      <c r="G106" s="1"/>
      <c r="H106" s="1"/>
      <c r="I106" s="1"/>
      <c r="J106" s="1"/>
      <c r="K106" s="1"/>
      <c r="L106" s="41">
        <f>200-200</f>
        <v>0</v>
      </c>
      <c r="M106" s="41">
        <f>200-200</f>
        <v>0</v>
      </c>
      <c r="N106" s="46" t="e">
        <f t="shared" si="6"/>
        <v>#DIV/0!</v>
      </c>
    </row>
    <row r="107" spans="1:14" ht="62.4" outlineLevel="3">
      <c r="A107" s="2" t="s">
        <v>108</v>
      </c>
      <c r="B107" s="1" t="s">
        <v>14</v>
      </c>
      <c r="C107" s="1" t="s">
        <v>32</v>
      </c>
      <c r="D107" s="1" t="s">
        <v>107</v>
      </c>
      <c r="E107" s="1" t="s">
        <v>109</v>
      </c>
      <c r="F107" s="1" t="s">
        <v>16</v>
      </c>
      <c r="G107" s="1"/>
      <c r="H107" s="1"/>
      <c r="I107" s="1"/>
      <c r="J107" s="1"/>
      <c r="K107" s="1"/>
      <c r="L107" s="41">
        <f>L108</f>
        <v>980.68</v>
      </c>
      <c r="M107" s="41">
        <f>M108</f>
        <v>980.68</v>
      </c>
      <c r="N107" s="46">
        <f t="shared" si="6"/>
        <v>100</v>
      </c>
    </row>
    <row r="108" spans="1:14" ht="46.8" outlineLevel="5">
      <c r="A108" s="2" t="s">
        <v>110</v>
      </c>
      <c r="B108" s="1" t="s">
        <v>14</v>
      </c>
      <c r="C108" s="1" t="s">
        <v>32</v>
      </c>
      <c r="D108" s="1" t="s">
        <v>107</v>
      </c>
      <c r="E108" s="1" t="s">
        <v>111</v>
      </c>
      <c r="F108" s="1" t="s">
        <v>16</v>
      </c>
      <c r="G108" s="1"/>
      <c r="H108" s="1"/>
      <c r="I108" s="1"/>
      <c r="J108" s="1"/>
      <c r="K108" s="1"/>
      <c r="L108" s="41">
        <f>L113+L109+L111</f>
        <v>980.68</v>
      </c>
      <c r="M108" s="41">
        <f>M113+M109+M111</f>
        <v>980.68</v>
      </c>
      <c r="N108" s="46">
        <f t="shared" si="6"/>
        <v>100</v>
      </c>
    </row>
    <row r="109" spans="1:14" ht="78" outlineLevel="5">
      <c r="A109" s="2" t="s">
        <v>694</v>
      </c>
      <c r="B109" s="1" t="s">
        <v>14</v>
      </c>
      <c r="C109" s="1" t="s">
        <v>32</v>
      </c>
      <c r="D109" s="1" t="s">
        <v>107</v>
      </c>
      <c r="E109" s="1" t="s">
        <v>693</v>
      </c>
      <c r="F109" s="1" t="s">
        <v>16</v>
      </c>
      <c r="G109" s="1"/>
      <c r="H109" s="1"/>
      <c r="I109" s="1"/>
      <c r="J109" s="1"/>
      <c r="K109" s="1"/>
      <c r="L109" s="41">
        <f>L110</f>
        <v>930.68</v>
      </c>
      <c r="M109" s="41">
        <f>M110</f>
        <v>930.68</v>
      </c>
      <c r="N109" s="46">
        <f t="shared" si="6"/>
        <v>100</v>
      </c>
    </row>
    <row r="110" spans="1:14" ht="15.6" outlineLevel="5">
      <c r="A110" s="2" t="s">
        <v>59</v>
      </c>
      <c r="B110" s="1" t="s">
        <v>14</v>
      </c>
      <c r="C110" s="1" t="s">
        <v>32</v>
      </c>
      <c r="D110" s="1" t="s">
        <v>107</v>
      </c>
      <c r="E110" s="1" t="s">
        <v>693</v>
      </c>
      <c r="F110" s="1" t="s">
        <v>60</v>
      </c>
      <c r="G110" s="1"/>
      <c r="H110" s="1"/>
      <c r="I110" s="1"/>
      <c r="J110" s="1"/>
      <c r="K110" s="1"/>
      <c r="L110" s="41">
        <v>930.68</v>
      </c>
      <c r="M110" s="41">
        <v>930.68</v>
      </c>
      <c r="N110" s="46">
        <f t="shared" si="6"/>
        <v>100</v>
      </c>
    </row>
    <row r="111" spans="1:14" ht="78" outlineLevel="5">
      <c r="A111" s="37" t="s">
        <v>709</v>
      </c>
      <c r="B111" s="1" t="s">
        <v>14</v>
      </c>
      <c r="C111" s="1" t="s">
        <v>32</v>
      </c>
      <c r="D111" s="1" t="s">
        <v>107</v>
      </c>
      <c r="E111" s="1" t="s">
        <v>710</v>
      </c>
      <c r="F111" s="1" t="s">
        <v>16</v>
      </c>
      <c r="G111" s="1"/>
      <c r="H111" s="1"/>
      <c r="I111" s="1"/>
      <c r="J111" s="1"/>
      <c r="K111" s="1"/>
      <c r="L111" s="41">
        <f>L112</f>
        <v>50</v>
      </c>
      <c r="M111" s="41">
        <f>M112</f>
        <v>50</v>
      </c>
      <c r="N111" s="46">
        <f t="shared" si="6"/>
        <v>100</v>
      </c>
    </row>
    <row r="112" spans="1:14" ht="15.6" outlineLevel="5">
      <c r="A112" s="37" t="s">
        <v>59</v>
      </c>
      <c r="B112" s="1" t="s">
        <v>14</v>
      </c>
      <c r="C112" s="1" t="s">
        <v>32</v>
      </c>
      <c r="D112" s="1" t="s">
        <v>107</v>
      </c>
      <c r="E112" s="1" t="s">
        <v>710</v>
      </c>
      <c r="F112" s="1" t="s">
        <v>60</v>
      </c>
      <c r="G112" s="1"/>
      <c r="H112" s="1"/>
      <c r="I112" s="1"/>
      <c r="J112" s="1"/>
      <c r="K112" s="1"/>
      <c r="L112" s="41">
        <v>50</v>
      </c>
      <c r="M112" s="41">
        <v>50</v>
      </c>
      <c r="N112" s="46">
        <f t="shared" si="6"/>
        <v>100</v>
      </c>
    </row>
    <row r="113" spans="1:14" ht="62.4" hidden="1" outlineLevel="6">
      <c r="A113" s="2" t="s">
        <v>112</v>
      </c>
      <c r="B113" s="1" t="s">
        <v>14</v>
      </c>
      <c r="C113" s="1" t="s">
        <v>32</v>
      </c>
      <c r="D113" s="1" t="s">
        <v>107</v>
      </c>
      <c r="E113" s="1" t="s">
        <v>113</v>
      </c>
      <c r="F113" s="1" t="s">
        <v>16</v>
      </c>
      <c r="G113" s="1"/>
      <c r="H113" s="1"/>
      <c r="I113" s="1"/>
      <c r="J113" s="1"/>
      <c r="K113" s="1"/>
      <c r="L113" s="41">
        <f>L114</f>
        <v>0</v>
      </c>
      <c r="M113" s="52"/>
      <c r="N113" s="43"/>
    </row>
    <row r="114" spans="1:14" ht="15.6" hidden="1" outlineLevel="7">
      <c r="A114" s="2" t="s">
        <v>59</v>
      </c>
      <c r="B114" s="1" t="s">
        <v>14</v>
      </c>
      <c r="C114" s="1" t="s">
        <v>32</v>
      </c>
      <c r="D114" s="1" t="s">
        <v>107</v>
      </c>
      <c r="E114" s="1" t="s">
        <v>113</v>
      </c>
      <c r="F114" s="1" t="s">
        <v>60</v>
      </c>
      <c r="G114" s="1"/>
      <c r="H114" s="1"/>
      <c r="I114" s="1"/>
      <c r="J114" s="1"/>
      <c r="K114" s="1"/>
      <c r="L114" s="41">
        <f>300-300</f>
        <v>0</v>
      </c>
      <c r="M114" s="52"/>
      <c r="N114" s="43"/>
    </row>
    <row r="115" spans="1:14" ht="15.6" outlineLevel="1" collapsed="1">
      <c r="A115" s="3" t="s">
        <v>114</v>
      </c>
      <c r="B115" s="4" t="s">
        <v>14</v>
      </c>
      <c r="C115" s="4" t="s">
        <v>115</v>
      </c>
      <c r="D115" s="4"/>
      <c r="E115" s="4"/>
      <c r="F115" s="4"/>
      <c r="G115" s="4"/>
      <c r="H115" s="4"/>
      <c r="I115" s="4"/>
      <c r="J115" s="4"/>
      <c r="K115" s="4"/>
      <c r="L115" s="39">
        <f>L116+L122+L143</f>
        <v>6107.9010500000004</v>
      </c>
      <c r="M115" s="39">
        <f>M116+M122+M143</f>
        <v>5969.54684</v>
      </c>
      <c r="N115" s="49">
        <f t="shared" ref="N115:N178" si="9">M115/L115*100</f>
        <v>97.734832164643521</v>
      </c>
    </row>
    <row r="116" spans="1:14" ht="15.6" outlineLevel="2">
      <c r="A116" s="5" t="s">
        <v>116</v>
      </c>
      <c r="B116" s="6" t="s">
        <v>14</v>
      </c>
      <c r="C116" s="6" t="s">
        <v>115</v>
      </c>
      <c r="D116" s="6" t="s">
        <v>18</v>
      </c>
      <c r="E116" s="6"/>
      <c r="F116" s="6"/>
      <c r="G116" s="6"/>
      <c r="H116" s="6"/>
      <c r="I116" s="6"/>
      <c r="J116" s="6"/>
      <c r="K116" s="6"/>
      <c r="L116" s="40">
        <f t="shared" ref="L116:M118" si="10">L117</f>
        <v>4900.1452300000001</v>
      </c>
      <c r="M116" s="40">
        <f t="shared" si="10"/>
        <v>4761.7910199999997</v>
      </c>
      <c r="N116" s="47">
        <f t="shared" si="9"/>
        <v>97.176528378119102</v>
      </c>
    </row>
    <row r="117" spans="1:14" ht="78" outlineLevel="3">
      <c r="A117" s="2" t="s">
        <v>79</v>
      </c>
      <c r="B117" s="1" t="s">
        <v>14</v>
      </c>
      <c r="C117" s="1" t="s">
        <v>115</v>
      </c>
      <c r="D117" s="1" t="s">
        <v>18</v>
      </c>
      <c r="E117" s="1" t="s">
        <v>80</v>
      </c>
      <c r="F117" s="1" t="s">
        <v>16</v>
      </c>
      <c r="G117" s="1"/>
      <c r="H117" s="1"/>
      <c r="I117" s="1"/>
      <c r="J117" s="1"/>
      <c r="K117" s="1"/>
      <c r="L117" s="41">
        <f t="shared" si="10"/>
        <v>4900.1452300000001</v>
      </c>
      <c r="M117" s="41">
        <f t="shared" si="10"/>
        <v>4761.7910199999997</v>
      </c>
      <c r="N117" s="46">
        <f t="shared" si="9"/>
        <v>97.176528378119102</v>
      </c>
    </row>
    <row r="118" spans="1:14" ht="31.2" outlineLevel="5">
      <c r="A118" s="2" t="s">
        <v>117</v>
      </c>
      <c r="B118" s="1" t="s">
        <v>14</v>
      </c>
      <c r="C118" s="1" t="s">
        <v>115</v>
      </c>
      <c r="D118" s="1" t="s">
        <v>18</v>
      </c>
      <c r="E118" s="1" t="s">
        <v>118</v>
      </c>
      <c r="F118" s="1" t="s">
        <v>16</v>
      </c>
      <c r="G118" s="1"/>
      <c r="H118" s="1"/>
      <c r="I118" s="1"/>
      <c r="J118" s="1"/>
      <c r="K118" s="1"/>
      <c r="L118" s="41">
        <f t="shared" si="10"/>
        <v>4900.1452300000001</v>
      </c>
      <c r="M118" s="41">
        <f t="shared" si="10"/>
        <v>4761.7910199999997</v>
      </c>
      <c r="N118" s="46">
        <f t="shared" si="9"/>
        <v>97.176528378119102</v>
      </c>
    </row>
    <row r="119" spans="1:14" ht="31.2" outlineLevel="6">
      <c r="A119" s="2" t="s">
        <v>119</v>
      </c>
      <c r="B119" s="1" t="s">
        <v>14</v>
      </c>
      <c r="C119" s="1" t="s">
        <v>115</v>
      </c>
      <c r="D119" s="1" t="s">
        <v>18</v>
      </c>
      <c r="E119" s="1" t="s">
        <v>120</v>
      </c>
      <c r="F119" s="1" t="s">
        <v>16</v>
      </c>
      <c r="G119" s="1"/>
      <c r="H119" s="1"/>
      <c r="I119" s="1"/>
      <c r="J119" s="1"/>
      <c r="K119" s="1"/>
      <c r="L119" s="41">
        <f>L120+L121</f>
        <v>4900.1452300000001</v>
      </c>
      <c r="M119" s="41">
        <f>M120+M121</f>
        <v>4761.7910199999997</v>
      </c>
      <c r="N119" s="46">
        <f t="shared" si="9"/>
        <v>97.176528378119102</v>
      </c>
    </row>
    <row r="120" spans="1:14" ht="46.8" outlineLevel="7">
      <c r="A120" s="2" t="s">
        <v>41</v>
      </c>
      <c r="B120" s="1" t="s">
        <v>14</v>
      </c>
      <c r="C120" s="1" t="s">
        <v>115</v>
      </c>
      <c r="D120" s="1" t="s">
        <v>18</v>
      </c>
      <c r="E120" s="1" t="s">
        <v>120</v>
      </c>
      <c r="F120" s="1" t="s">
        <v>42</v>
      </c>
      <c r="G120" s="1"/>
      <c r="H120" s="1"/>
      <c r="I120" s="1"/>
      <c r="J120" s="1"/>
      <c r="K120" s="1"/>
      <c r="L120" s="41">
        <v>50</v>
      </c>
      <c r="M120" s="44">
        <v>37.804110000000001</v>
      </c>
      <c r="N120" s="46">
        <f t="shared" si="9"/>
        <v>75.608220000000003</v>
      </c>
    </row>
    <row r="121" spans="1:14" ht="31.2" outlineLevel="7">
      <c r="A121" s="2" t="s">
        <v>77</v>
      </c>
      <c r="B121" s="1" t="s">
        <v>14</v>
      </c>
      <c r="C121" s="1" t="s">
        <v>115</v>
      </c>
      <c r="D121" s="1" t="s">
        <v>18</v>
      </c>
      <c r="E121" s="1" t="s">
        <v>120</v>
      </c>
      <c r="F121" s="1" t="s">
        <v>78</v>
      </c>
      <c r="G121" s="1"/>
      <c r="H121" s="1"/>
      <c r="I121" s="1"/>
      <c r="J121" s="1"/>
      <c r="K121" s="1"/>
      <c r="L121" s="41">
        <f>4950-99.85477</f>
        <v>4850.1452300000001</v>
      </c>
      <c r="M121" s="44">
        <v>4723.9869099999996</v>
      </c>
      <c r="N121" s="46">
        <f t="shared" si="9"/>
        <v>97.39887541470587</v>
      </c>
    </row>
    <row r="122" spans="1:14" ht="15.6" outlineLevel="2">
      <c r="A122" s="5" t="s">
        <v>121</v>
      </c>
      <c r="B122" s="6" t="s">
        <v>14</v>
      </c>
      <c r="C122" s="6" t="s">
        <v>115</v>
      </c>
      <c r="D122" s="6" t="s">
        <v>93</v>
      </c>
      <c r="E122" s="6"/>
      <c r="F122" s="6"/>
      <c r="G122" s="6"/>
      <c r="H122" s="6"/>
      <c r="I122" s="6"/>
      <c r="J122" s="6"/>
      <c r="K122" s="6"/>
      <c r="L122" s="40">
        <f>L123</f>
        <v>820.76080000000002</v>
      </c>
      <c r="M122" s="40">
        <f>M123</f>
        <v>820.76080000000002</v>
      </c>
      <c r="N122" s="47">
        <f t="shared" si="9"/>
        <v>100</v>
      </c>
    </row>
    <row r="123" spans="1:14" ht="78" outlineLevel="4">
      <c r="A123" s="2" t="s">
        <v>81</v>
      </c>
      <c r="B123" s="1" t="s">
        <v>14</v>
      </c>
      <c r="C123" s="1" t="s">
        <v>115</v>
      </c>
      <c r="D123" s="1" t="s">
        <v>93</v>
      </c>
      <c r="E123" s="1" t="s">
        <v>80</v>
      </c>
      <c r="F123" s="1" t="s">
        <v>16</v>
      </c>
      <c r="G123" s="1"/>
      <c r="H123" s="1"/>
      <c r="I123" s="1"/>
      <c r="J123" s="1"/>
      <c r="K123" s="1"/>
      <c r="L123" s="41">
        <f>L124+L138</f>
        <v>820.76080000000002</v>
      </c>
      <c r="M123" s="41">
        <f>M124+M138</f>
        <v>820.76080000000002</v>
      </c>
      <c r="N123" s="46">
        <f t="shared" si="9"/>
        <v>100</v>
      </c>
    </row>
    <row r="124" spans="1:14" ht="46.8" outlineLevel="5">
      <c r="A124" s="2" t="s">
        <v>122</v>
      </c>
      <c r="B124" s="1" t="s">
        <v>14</v>
      </c>
      <c r="C124" s="1" t="s">
        <v>115</v>
      </c>
      <c r="D124" s="1" t="s">
        <v>93</v>
      </c>
      <c r="E124" s="1" t="s">
        <v>123</v>
      </c>
      <c r="F124" s="1" t="s">
        <v>16</v>
      </c>
      <c r="G124" s="1"/>
      <c r="H124" s="1"/>
      <c r="I124" s="1"/>
      <c r="J124" s="1"/>
      <c r="K124" s="1"/>
      <c r="L124" s="41">
        <f>L125+L128+L131+L134+L136</f>
        <v>706.04579999999999</v>
      </c>
      <c r="M124" s="41">
        <f>M125+M128+M131+M134+M136</f>
        <v>706.04579999999999</v>
      </c>
      <c r="N124" s="46">
        <f t="shared" si="9"/>
        <v>100</v>
      </c>
    </row>
    <row r="125" spans="1:14" ht="31.2" outlineLevel="6">
      <c r="A125" s="2" t="s">
        <v>124</v>
      </c>
      <c r="B125" s="1" t="s">
        <v>14</v>
      </c>
      <c r="C125" s="1" t="s">
        <v>115</v>
      </c>
      <c r="D125" s="1" t="s">
        <v>93</v>
      </c>
      <c r="E125" s="1" t="s">
        <v>125</v>
      </c>
      <c r="F125" s="1" t="s">
        <v>16</v>
      </c>
      <c r="G125" s="1"/>
      <c r="H125" s="1"/>
      <c r="I125" s="1"/>
      <c r="J125" s="1"/>
      <c r="K125" s="1"/>
      <c r="L125" s="41">
        <f>L126+L127</f>
        <v>329.37</v>
      </c>
      <c r="M125" s="41">
        <f>M126+M127</f>
        <v>329.37</v>
      </c>
      <c r="N125" s="46">
        <f t="shared" si="9"/>
        <v>100</v>
      </c>
    </row>
    <row r="126" spans="1:14" ht="46.8" outlineLevel="7">
      <c r="A126" s="2" t="s">
        <v>41</v>
      </c>
      <c r="B126" s="1" t="s">
        <v>14</v>
      </c>
      <c r="C126" s="1" t="s">
        <v>115</v>
      </c>
      <c r="D126" s="1" t="s">
        <v>93</v>
      </c>
      <c r="E126" s="1" t="s">
        <v>125</v>
      </c>
      <c r="F126" s="1" t="s">
        <v>42</v>
      </c>
      <c r="G126" s="1"/>
      <c r="H126" s="1"/>
      <c r="I126" s="1"/>
      <c r="J126" s="1"/>
      <c r="K126" s="1"/>
      <c r="L126" s="41">
        <f>3.2-0.03</f>
        <v>3.1700000000000004</v>
      </c>
      <c r="M126" s="41">
        <f>3.2-0.03</f>
        <v>3.1700000000000004</v>
      </c>
      <c r="N126" s="46">
        <f t="shared" si="9"/>
        <v>100</v>
      </c>
    </row>
    <row r="127" spans="1:14" ht="31.2" outlineLevel="7">
      <c r="A127" s="2" t="s">
        <v>77</v>
      </c>
      <c r="B127" s="1" t="s">
        <v>14</v>
      </c>
      <c r="C127" s="1" t="s">
        <v>115</v>
      </c>
      <c r="D127" s="1" t="s">
        <v>93</v>
      </c>
      <c r="E127" s="1" t="s">
        <v>125</v>
      </c>
      <c r="F127" s="1" t="s">
        <v>78</v>
      </c>
      <c r="G127" s="1"/>
      <c r="H127" s="1"/>
      <c r="I127" s="1"/>
      <c r="J127" s="1"/>
      <c r="K127" s="1"/>
      <c r="L127" s="41">
        <f>306.2+20</f>
        <v>326.2</v>
      </c>
      <c r="M127" s="41">
        <f>306.2+20</f>
        <v>326.2</v>
      </c>
      <c r="N127" s="46">
        <f t="shared" si="9"/>
        <v>100</v>
      </c>
    </row>
    <row r="128" spans="1:14" ht="31.2" outlineLevel="6">
      <c r="A128" s="2" t="s">
        <v>126</v>
      </c>
      <c r="B128" s="1" t="s">
        <v>14</v>
      </c>
      <c r="C128" s="1" t="s">
        <v>115</v>
      </c>
      <c r="D128" s="1" t="s">
        <v>93</v>
      </c>
      <c r="E128" s="1" t="s">
        <v>127</v>
      </c>
      <c r="F128" s="1" t="s">
        <v>16</v>
      </c>
      <c r="G128" s="1"/>
      <c r="H128" s="1"/>
      <c r="I128" s="1"/>
      <c r="J128" s="1"/>
      <c r="K128" s="1"/>
      <c r="L128" s="41">
        <f>L129+L130</f>
        <v>140.69300000000001</v>
      </c>
      <c r="M128" s="41">
        <f>M129+M130</f>
        <v>140.69300000000001</v>
      </c>
      <c r="N128" s="46">
        <f t="shared" si="9"/>
        <v>100</v>
      </c>
    </row>
    <row r="129" spans="1:14" ht="46.8" outlineLevel="7">
      <c r="A129" s="2" t="s">
        <v>41</v>
      </c>
      <c r="B129" s="1" t="s">
        <v>14</v>
      </c>
      <c r="C129" s="1" t="s">
        <v>115</v>
      </c>
      <c r="D129" s="1" t="s">
        <v>93</v>
      </c>
      <c r="E129" s="1" t="s">
        <v>127</v>
      </c>
      <c r="F129" s="1" t="s">
        <v>42</v>
      </c>
      <c r="G129" s="1"/>
      <c r="H129" s="1"/>
      <c r="I129" s="1"/>
      <c r="J129" s="1"/>
      <c r="K129" s="1"/>
      <c r="L129" s="41">
        <f>1.6-0.207</f>
        <v>1.393</v>
      </c>
      <c r="M129" s="41">
        <f>1.6-0.207</f>
        <v>1.393</v>
      </c>
      <c r="N129" s="46">
        <f t="shared" si="9"/>
        <v>100</v>
      </c>
    </row>
    <row r="130" spans="1:14" ht="31.2" outlineLevel="7">
      <c r="A130" s="2" t="s">
        <v>77</v>
      </c>
      <c r="B130" s="1" t="s">
        <v>14</v>
      </c>
      <c r="C130" s="1" t="s">
        <v>115</v>
      </c>
      <c r="D130" s="1" t="s">
        <v>93</v>
      </c>
      <c r="E130" s="1" t="s">
        <v>127</v>
      </c>
      <c r="F130" s="1" t="s">
        <v>78</v>
      </c>
      <c r="G130" s="1"/>
      <c r="H130" s="1"/>
      <c r="I130" s="1"/>
      <c r="J130" s="1"/>
      <c r="K130" s="1"/>
      <c r="L130" s="41">
        <f>156-12-4.7</f>
        <v>139.30000000000001</v>
      </c>
      <c r="M130" s="41">
        <f>156-12-4.7</f>
        <v>139.30000000000001</v>
      </c>
      <c r="N130" s="46">
        <f t="shared" si="9"/>
        <v>100</v>
      </c>
    </row>
    <row r="131" spans="1:14" ht="31.2" outlineLevel="6">
      <c r="A131" s="2" t="s">
        <v>128</v>
      </c>
      <c r="B131" s="1" t="s">
        <v>14</v>
      </c>
      <c r="C131" s="1" t="s">
        <v>115</v>
      </c>
      <c r="D131" s="1" t="s">
        <v>93</v>
      </c>
      <c r="E131" s="1" t="s">
        <v>129</v>
      </c>
      <c r="F131" s="1" t="s">
        <v>16</v>
      </c>
      <c r="G131" s="1"/>
      <c r="H131" s="1"/>
      <c r="I131" s="1"/>
      <c r="J131" s="1"/>
      <c r="K131" s="1"/>
      <c r="L131" s="41">
        <f>L132+L133</f>
        <v>178.77</v>
      </c>
      <c r="M131" s="41">
        <f>M132+M133</f>
        <v>178.77</v>
      </c>
      <c r="N131" s="46">
        <f t="shared" si="9"/>
        <v>100</v>
      </c>
    </row>
    <row r="132" spans="1:14" ht="46.8" outlineLevel="7">
      <c r="A132" s="2" t="s">
        <v>41</v>
      </c>
      <c r="B132" s="1" t="s">
        <v>14</v>
      </c>
      <c r="C132" s="1" t="s">
        <v>115</v>
      </c>
      <c r="D132" s="1" t="s">
        <v>93</v>
      </c>
      <c r="E132" s="1" t="s">
        <v>129</v>
      </c>
      <c r="F132" s="1" t="s">
        <v>42</v>
      </c>
      <c r="G132" s="1"/>
      <c r="H132" s="1"/>
      <c r="I132" s="1"/>
      <c r="J132" s="1"/>
      <c r="K132" s="1"/>
      <c r="L132" s="41">
        <f>2-0.23</f>
        <v>1.77</v>
      </c>
      <c r="M132" s="41">
        <f>2-0.23</f>
        <v>1.77</v>
      </c>
      <c r="N132" s="46">
        <f t="shared" si="9"/>
        <v>100</v>
      </c>
    </row>
    <row r="133" spans="1:14" ht="31.2" outlineLevel="7">
      <c r="A133" s="2" t="s">
        <v>77</v>
      </c>
      <c r="B133" s="1" t="s">
        <v>14</v>
      </c>
      <c r="C133" s="1" t="s">
        <v>115</v>
      </c>
      <c r="D133" s="1" t="s">
        <v>93</v>
      </c>
      <c r="E133" s="1" t="s">
        <v>129</v>
      </c>
      <c r="F133" s="1" t="s">
        <v>78</v>
      </c>
      <c r="G133" s="1"/>
      <c r="H133" s="1"/>
      <c r="I133" s="1"/>
      <c r="J133" s="1"/>
      <c r="K133" s="1"/>
      <c r="L133" s="41">
        <f>178-1</f>
        <v>177</v>
      </c>
      <c r="M133" s="41">
        <f>178-1</f>
        <v>177</v>
      </c>
      <c r="N133" s="46">
        <f t="shared" si="9"/>
        <v>100</v>
      </c>
    </row>
    <row r="134" spans="1:14" ht="31.2" outlineLevel="6">
      <c r="A134" s="2" t="s">
        <v>130</v>
      </c>
      <c r="B134" s="1" t="s">
        <v>14</v>
      </c>
      <c r="C134" s="1" t="s">
        <v>115</v>
      </c>
      <c r="D134" s="1" t="s">
        <v>93</v>
      </c>
      <c r="E134" s="1" t="s">
        <v>131</v>
      </c>
      <c r="F134" s="1" t="s">
        <v>16</v>
      </c>
      <c r="G134" s="1"/>
      <c r="H134" s="1"/>
      <c r="I134" s="1"/>
      <c r="J134" s="1"/>
      <c r="K134" s="1"/>
      <c r="L134" s="41">
        <f>L135</f>
        <v>49.59</v>
      </c>
      <c r="M134" s="41">
        <f>M135</f>
        <v>49.59</v>
      </c>
      <c r="N134" s="46">
        <f t="shared" si="9"/>
        <v>100</v>
      </c>
    </row>
    <row r="135" spans="1:14" ht="31.2" outlineLevel="7">
      <c r="A135" s="2" t="s">
        <v>77</v>
      </c>
      <c r="B135" s="1" t="s">
        <v>14</v>
      </c>
      <c r="C135" s="1" t="s">
        <v>115</v>
      </c>
      <c r="D135" s="1" t="s">
        <v>93</v>
      </c>
      <c r="E135" s="1" t="s">
        <v>131</v>
      </c>
      <c r="F135" s="1" t="s">
        <v>78</v>
      </c>
      <c r="G135" s="1"/>
      <c r="H135" s="1"/>
      <c r="I135" s="1"/>
      <c r="J135" s="1"/>
      <c r="K135" s="1"/>
      <c r="L135" s="41">
        <f>50-0.41</f>
        <v>49.59</v>
      </c>
      <c r="M135" s="41">
        <f>50-0.41</f>
        <v>49.59</v>
      </c>
      <c r="N135" s="46">
        <f t="shared" si="9"/>
        <v>100</v>
      </c>
    </row>
    <row r="136" spans="1:14" ht="31.2" outlineLevel="6">
      <c r="A136" s="2" t="s">
        <v>132</v>
      </c>
      <c r="B136" s="1" t="s">
        <v>14</v>
      </c>
      <c r="C136" s="1" t="s">
        <v>115</v>
      </c>
      <c r="D136" s="1" t="s">
        <v>93</v>
      </c>
      <c r="E136" s="1" t="s">
        <v>133</v>
      </c>
      <c r="F136" s="1" t="s">
        <v>16</v>
      </c>
      <c r="G136" s="1"/>
      <c r="H136" s="1"/>
      <c r="I136" s="1"/>
      <c r="J136" s="1"/>
      <c r="K136" s="1"/>
      <c r="L136" s="41">
        <f>L137</f>
        <v>7.6227999999999998</v>
      </c>
      <c r="M136" s="41">
        <f>M137</f>
        <v>7.6227999999999998</v>
      </c>
      <c r="N136" s="46">
        <f t="shared" si="9"/>
        <v>100</v>
      </c>
    </row>
    <row r="137" spans="1:14" ht="31.2" outlineLevel="7">
      <c r="A137" s="2" t="s">
        <v>77</v>
      </c>
      <c r="B137" s="1" t="s">
        <v>14</v>
      </c>
      <c r="C137" s="1" t="s">
        <v>115</v>
      </c>
      <c r="D137" s="1" t="s">
        <v>93</v>
      </c>
      <c r="E137" s="1" t="s">
        <v>133</v>
      </c>
      <c r="F137" s="1" t="s">
        <v>78</v>
      </c>
      <c r="G137" s="1"/>
      <c r="H137" s="1"/>
      <c r="I137" s="1"/>
      <c r="J137" s="1"/>
      <c r="K137" s="1"/>
      <c r="L137" s="41">
        <f>10-2.3772</f>
        <v>7.6227999999999998</v>
      </c>
      <c r="M137" s="41">
        <f>10-2.3772</f>
        <v>7.6227999999999998</v>
      </c>
      <c r="N137" s="46">
        <f t="shared" si="9"/>
        <v>100</v>
      </c>
    </row>
    <row r="138" spans="1:14" ht="46.8" outlineLevel="5">
      <c r="A138" s="2" t="s">
        <v>134</v>
      </c>
      <c r="B138" s="1" t="s">
        <v>14</v>
      </c>
      <c r="C138" s="1" t="s">
        <v>115</v>
      </c>
      <c r="D138" s="1" t="s">
        <v>93</v>
      </c>
      <c r="E138" s="1" t="s">
        <v>135</v>
      </c>
      <c r="F138" s="1" t="s">
        <v>16</v>
      </c>
      <c r="G138" s="1"/>
      <c r="H138" s="1"/>
      <c r="I138" s="1"/>
      <c r="J138" s="1"/>
      <c r="K138" s="1"/>
      <c r="L138" s="41">
        <f>L139+L141</f>
        <v>114.715</v>
      </c>
      <c r="M138" s="41">
        <f>M139+M141</f>
        <v>114.715</v>
      </c>
      <c r="N138" s="46">
        <f t="shared" si="9"/>
        <v>100</v>
      </c>
    </row>
    <row r="139" spans="1:14" ht="46.8" outlineLevel="6">
      <c r="A139" s="2" t="s">
        <v>136</v>
      </c>
      <c r="B139" s="1" t="s">
        <v>14</v>
      </c>
      <c r="C139" s="1" t="s">
        <v>115</v>
      </c>
      <c r="D139" s="1" t="s">
        <v>93</v>
      </c>
      <c r="E139" s="1" t="s">
        <v>137</v>
      </c>
      <c r="F139" s="1" t="s">
        <v>16</v>
      </c>
      <c r="G139" s="1"/>
      <c r="H139" s="1"/>
      <c r="I139" s="1"/>
      <c r="J139" s="1"/>
      <c r="K139" s="1"/>
      <c r="L139" s="41">
        <f>L140</f>
        <v>10</v>
      </c>
      <c r="M139" s="41">
        <f>M140</f>
        <v>10</v>
      </c>
      <c r="N139" s="46">
        <f t="shared" si="9"/>
        <v>100</v>
      </c>
    </row>
    <row r="140" spans="1:14" ht="46.8" outlineLevel="7">
      <c r="A140" s="2" t="s">
        <v>41</v>
      </c>
      <c r="B140" s="1" t="s">
        <v>14</v>
      </c>
      <c r="C140" s="1" t="s">
        <v>115</v>
      </c>
      <c r="D140" s="1" t="s">
        <v>93</v>
      </c>
      <c r="E140" s="1" t="s">
        <v>137</v>
      </c>
      <c r="F140" s="1" t="s">
        <v>42</v>
      </c>
      <c r="G140" s="1"/>
      <c r="H140" s="1"/>
      <c r="I140" s="1"/>
      <c r="J140" s="1"/>
      <c r="K140" s="1"/>
      <c r="L140" s="41">
        <f>25-15</f>
        <v>10</v>
      </c>
      <c r="M140" s="41">
        <f>25-15</f>
        <v>10</v>
      </c>
      <c r="N140" s="46">
        <f t="shared" si="9"/>
        <v>100</v>
      </c>
    </row>
    <row r="141" spans="1:14" ht="46.8" outlineLevel="6">
      <c r="A141" s="2" t="s">
        <v>138</v>
      </c>
      <c r="B141" s="1" t="s">
        <v>14</v>
      </c>
      <c r="C141" s="1" t="s">
        <v>115</v>
      </c>
      <c r="D141" s="1" t="s">
        <v>93</v>
      </c>
      <c r="E141" s="1" t="s">
        <v>139</v>
      </c>
      <c r="F141" s="1" t="s">
        <v>16</v>
      </c>
      <c r="G141" s="1"/>
      <c r="H141" s="1"/>
      <c r="I141" s="1"/>
      <c r="J141" s="1"/>
      <c r="K141" s="1"/>
      <c r="L141" s="41">
        <f>L142</f>
        <v>104.715</v>
      </c>
      <c r="M141" s="41">
        <f>M142</f>
        <v>104.715</v>
      </c>
      <c r="N141" s="46">
        <f t="shared" si="9"/>
        <v>100</v>
      </c>
    </row>
    <row r="142" spans="1:14" ht="46.8" outlineLevel="7">
      <c r="A142" s="2" t="s">
        <v>41</v>
      </c>
      <c r="B142" s="1" t="s">
        <v>14</v>
      </c>
      <c r="C142" s="1" t="s">
        <v>115</v>
      </c>
      <c r="D142" s="1" t="s">
        <v>93</v>
      </c>
      <c r="E142" s="1" t="s">
        <v>139</v>
      </c>
      <c r="F142" s="1" t="s">
        <v>42</v>
      </c>
      <c r="G142" s="1"/>
      <c r="H142" s="1"/>
      <c r="I142" s="1"/>
      <c r="J142" s="1"/>
      <c r="K142" s="1"/>
      <c r="L142" s="41">
        <f>90+17-2.285</f>
        <v>104.715</v>
      </c>
      <c r="M142" s="41">
        <f>90+17-2.285</f>
        <v>104.715</v>
      </c>
      <c r="N142" s="46">
        <f t="shared" si="9"/>
        <v>100</v>
      </c>
    </row>
    <row r="143" spans="1:14" ht="31.2" outlineLevel="2">
      <c r="A143" s="5" t="s">
        <v>140</v>
      </c>
      <c r="B143" s="6" t="s">
        <v>14</v>
      </c>
      <c r="C143" s="6" t="s">
        <v>115</v>
      </c>
      <c r="D143" s="6" t="s">
        <v>141</v>
      </c>
      <c r="E143" s="6"/>
      <c r="F143" s="6"/>
      <c r="G143" s="6"/>
      <c r="H143" s="6"/>
      <c r="I143" s="6"/>
      <c r="J143" s="6"/>
      <c r="K143" s="6"/>
      <c r="L143" s="40">
        <f>L144</f>
        <v>386.99502000000001</v>
      </c>
      <c r="M143" s="40">
        <f>M144</f>
        <v>386.99502000000001</v>
      </c>
      <c r="N143" s="47">
        <f t="shared" si="9"/>
        <v>100</v>
      </c>
    </row>
    <row r="144" spans="1:14" ht="78" outlineLevel="3">
      <c r="A144" s="2" t="s">
        <v>79</v>
      </c>
      <c r="B144" s="1" t="s">
        <v>14</v>
      </c>
      <c r="C144" s="1" t="s">
        <v>115</v>
      </c>
      <c r="D144" s="1" t="s">
        <v>141</v>
      </c>
      <c r="E144" s="1" t="s">
        <v>80</v>
      </c>
      <c r="F144" s="1" t="s">
        <v>16</v>
      </c>
      <c r="G144" s="1"/>
      <c r="H144" s="1"/>
      <c r="I144" s="1"/>
      <c r="J144" s="1"/>
      <c r="K144" s="1"/>
      <c r="L144" s="41">
        <f>L145</f>
        <v>386.99502000000001</v>
      </c>
      <c r="M144" s="41">
        <f>M145</f>
        <v>386.99502000000001</v>
      </c>
      <c r="N144" s="46">
        <f t="shared" si="9"/>
        <v>100</v>
      </c>
    </row>
    <row r="145" spans="1:14" ht="62.4" outlineLevel="5">
      <c r="A145" s="2" t="s">
        <v>142</v>
      </c>
      <c r="B145" s="1" t="s">
        <v>14</v>
      </c>
      <c r="C145" s="1" t="s">
        <v>115</v>
      </c>
      <c r="D145" s="1" t="s">
        <v>141</v>
      </c>
      <c r="E145" s="1" t="s">
        <v>143</v>
      </c>
      <c r="F145" s="1" t="s">
        <v>16</v>
      </c>
      <c r="G145" s="1"/>
      <c r="H145" s="1"/>
      <c r="I145" s="1"/>
      <c r="J145" s="1"/>
      <c r="K145" s="1"/>
      <c r="L145" s="41">
        <f>L146+L148</f>
        <v>386.99502000000001</v>
      </c>
      <c r="M145" s="41">
        <f>M146+M148</f>
        <v>386.99502000000001</v>
      </c>
      <c r="N145" s="46">
        <f t="shared" si="9"/>
        <v>100</v>
      </c>
    </row>
    <row r="146" spans="1:14" ht="31.2" outlineLevel="6">
      <c r="A146" s="2" t="s">
        <v>144</v>
      </c>
      <c r="B146" s="1" t="s">
        <v>14</v>
      </c>
      <c r="C146" s="1" t="s">
        <v>115</v>
      </c>
      <c r="D146" s="1" t="s">
        <v>141</v>
      </c>
      <c r="E146" s="1" t="s">
        <v>145</v>
      </c>
      <c r="F146" s="1" t="s">
        <v>16</v>
      </c>
      <c r="G146" s="1"/>
      <c r="H146" s="1"/>
      <c r="I146" s="1"/>
      <c r="J146" s="1"/>
      <c r="K146" s="1"/>
      <c r="L146" s="41">
        <f>L147</f>
        <v>386.99502000000001</v>
      </c>
      <c r="M146" s="41">
        <f>M147</f>
        <v>386.99502000000001</v>
      </c>
      <c r="N146" s="46">
        <f t="shared" si="9"/>
        <v>100</v>
      </c>
    </row>
    <row r="147" spans="1:14" ht="46.8" outlineLevel="7">
      <c r="A147" s="2" t="s">
        <v>41</v>
      </c>
      <c r="B147" s="1" t="s">
        <v>14</v>
      </c>
      <c r="C147" s="1" t="s">
        <v>115</v>
      </c>
      <c r="D147" s="1" t="s">
        <v>141</v>
      </c>
      <c r="E147" s="1" t="s">
        <v>145</v>
      </c>
      <c r="F147" s="1" t="s">
        <v>42</v>
      </c>
      <c r="G147" s="1"/>
      <c r="H147" s="1"/>
      <c r="I147" s="1"/>
      <c r="J147" s="1"/>
      <c r="K147" s="1"/>
      <c r="L147" s="41">
        <f>150+140+50+10+36.99502</f>
        <v>386.99502000000001</v>
      </c>
      <c r="M147" s="41">
        <f>150+140+50+10+36.99502</f>
        <v>386.99502000000001</v>
      </c>
      <c r="N147" s="46">
        <f t="shared" si="9"/>
        <v>100</v>
      </c>
    </row>
    <row r="148" spans="1:14" ht="62.4" hidden="1" outlineLevel="6">
      <c r="A148" s="2" t="s">
        <v>146</v>
      </c>
      <c r="B148" s="1" t="s">
        <v>14</v>
      </c>
      <c r="C148" s="1" t="s">
        <v>115</v>
      </c>
      <c r="D148" s="1" t="s">
        <v>141</v>
      </c>
      <c r="E148" s="1" t="s">
        <v>147</v>
      </c>
      <c r="F148" s="1" t="s">
        <v>16</v>
      </c>
      <c r="G148" s="1"/>
      <c r="H148" s="1"/>
      <c r="I148" s="1"/>
      <c r="J148" s="1"/>
      <c r="K148" s="1"/>
      <c r="L148" s="41">
        <f>L149</f>
        <v>0</v>
      </c>
      <c r="M148" s="52"/>
      <c r="N148" s="46" t="e">
        <f t="shared" si="9"/>
        <v>#DIV/0!</v>
      </c>
    </row>
    <row r="149" spans="1:14" ht="60.75" hidden="1" customHeight="1" outlineLevel="7">
      <c r="A149" s="2" t="s">
        <v>90</v>
      </c>
      <c r="B149" s="1" t="s">
        <v>14</v>
      </c>
      <c r="C149" s="1" t="s">
        <v>115</v>
      </c>
      <c r="D149" s="1" t="s">
        <v>141</v>
      </c>
      <c r="E149" s="1" t="s">
        <v>147</v>
      </c>
      <c r="F149" s="1" t="s">
        <v>91</v>
      </c>
      <c r="G149" s="1"/>
      <c r="H149" s="1"/>
      <c r="I149" s="1"/>
      <c r="J149" s="1"/>
      <c r="K149" s="1"/>
      <c r="L149" s="41">
        <f>180-180</f>
        <v>0</v>
      </c>
      <c r="M149" s="52"/>
      <c r="N149" s="46" t="e">
        <f t="shared" si="9"/>
        <v>#DIV/0!</v>
      </c>
    </row>
    <row r="150" spans="1:14" ht="18.75" customHeight="1" outlineLevel="1" collapsed="1">
      <c r="A150" s="3" t="s">
        <v>148</v>
      </c>
      <c r="B150" s="4" t="s">
        <v>14</v>
      </c>
      <c r="C150" s="4" t="s">
        <v>107</v>
      </c>
      <c r="D150" s="4"/>
      <c r="E150" s="4"/>
      <c r="F150" s="4"/>
      <c r="G150" s="4"/>
      <c r="H150" s="4"/>
      <c r="I150" s="4"/>
      <c r="J150" s="4"/>
      <c r="K150" s="4"/>
      <c r="L150" s="39">
        <f>L157+L151</f>
        <v>6553</v>
      </c>
      <c r="M150" s="39">
        <f>M157+M151</f>
        <v>5191.4019099999996</v>
      </c>
      <c r="N150" s="49">
        <f t="shared" si="9"/>
        <v>79.221759652067746</v>
      </c>
    </row>
    <row r="151" spans="1:14" ht="18.75" customHeight="1" outlineLevel="1">
      <c r="A151" s="5" t="s">
        <v>658</v>
      </c>
      <c r="B151" s="6" t="s">
        <v>14</v>
      </c>
      <c r="C151" s="6" t="s">
        <v>107</v>
      </c>
      <c r="D151" s="6" t="s">
        <v>18</v>
      </c>
      <c r="E151" s="6"/>
      <c r="F151" s="6"/>
      <c r="G151" s="6"/>
      <c r="H151" s="6"/>
      <c r="I151" s="6"/>
      <c r="J151" s="6"/>
      <c r="K151" s="6"/>
      <c r="L151" s="40">
        <f t="shared" ref="L151:M155" si="11">L152</f>
        <v>2539.25</v>
      </c>
      <c r="M151" s="40">
        <f t="shared" si="11"/>
        <v>1650.43983</v>
      </c>
      <c r="N151" s="47">
        <f t="shared" si="9"/>
        <v>64.997138131337991</v>
      </c>
    </row>
    <row r="152" spans="1:14" ht="46.8" outlineLevel="1">
      <c r="A152" s="2" t="s">
        <v>21</v>
      </c>
      <c r="B152" s="1" t="s">
        <v>14</v>
      </c>
      <c r="C152" s="1" t="s">
        <v>107</v>
      </c>
      <c r="D152" s="1" t="s">
        <v>18</v>
      </c>
      <c r="E152" s="1" t="s">
        <v>22</v>
      </c>
      <c r="F152" s="1" t="s">
        <v>16</v>
      </c>
      <c r="G152" s="1"/>
      <c r="H152" s="1"/>
      <c r="I152" s="1"/>
      <c r="J152" s="1"/>
      <c r="K152" s="1"/>
      <c r="L152" s="41">
        <f t="shared" si="11"/>
        <v>2539.25</v>
      </c>
      <c r="M152" s="41">
        <f t="shared" si="11"/>
        <v>1650.43983</v>
      </c>
      <c r="N152" s="46">
        <f t="shared" si="9"/>
        <v>64.997138131337991</v>
      </c>
    </row>
    <row r="153" spans="1:14" ht="31.2" outlineLevel="1">
      <c r="A153" s="2" t="s">
        <v>150</v>
      </c>
      <c r="B153" s="1" t="s">
        <v>14</v>
      </c>
      <c r="C153" s="1" t="s">
        <v>107</v>
      </c>
      <c r="D153" s="1" t="s">
        <v>18</v>
      </c>
      <c r="E153" s="1" t="s">
        <v>151</v>
      </c>
      <c r="F153" s="1" t="s">
        <v>16</v>
      </c>
      <c r="G153" s="1"/>
      <c r="H153" s="1"/>
      <c r="I153" s="1"/>
      <c r="J153" s="1"/>
      <c r="K153" s="1"/>
      <c r="L153" s="41">
        <f t="shared" si="11"/>
        <v>2539.25</v>
      </c>
      <c r="M153" s="41">
        <f t="shared" si="11"/>
        <v>1650.43983</v>
      </c>
      <c r="N153" s="46">
        <f t="shared" si="9"/>
        <v>64.997138131337991</v>
      </c>
    </row>
    <row r="154" spans="1:14" ht="62.4" outlineLevel="1">
      <c r="A154" s="2" t="s">
        <v>717</v>
      </c>
      <c r="B154" s="1" t="s">
        <v>14</v>
      </c>
      <c r="C154" s="1" t="s">
        <v>107</v>
      </c>
      <c r="D154" s="1" t="s">
        <v>18</v>
      </c>
      <c r="E154" s="1" t="s">
        <v>152</v>
      </c>
      <c r="F154" s="1" t="s">
        <v>16</v>
      </c>
      <c r="G154" s="1"/>
      <c r="H154" s="1"/>
      <c r="I154" s="1"/>
      <c r="J154" s="1"/>
      <c r="K154" s="1"/>
      <c r="L154" s="41">
        <f t="shared" si="11"/>
        <v>2539.25</v>
      </c>
      <c r="M154" s="41">
        <f t="shared" si="11"/>
        <v>1650.43983</v>
      </c>
      <c r="N154" s="46">
        <f t="shared" si="9"/>
        <v>64.997138131337991</v>
      </c>
    </row>
    <row r="155" spans="1:14" ht="46.8" outlineLevel="1">
      <c r="A155" s="2" t="s">
        <v>153</v>
      </c>
      <c r="B155" s="1" t="s">
        <v>14</v>
      </c>
      <c r="C155" s="1" t="s">
        <v>107</v>
      </c>
      <c r="D155" s="1" t="s">
        <v>18</v>
      </c>
      <c r="E155" s="1" t="s">
        <v>154</v>
      </c>
      <c r="F155" s="1" t="s">
        <v>16</v>
      </c>
      <c r="G155" s="1"/>
      <c r="H155" s="1"/>
      <c r="I155" s="1"/>
      <c r="J155" s="1"/>
      <c r="K155" s="1"/>
      <c r="L155" s="41">
        <f t="shared" si="11"/>
        <v>2539.25</v>
      </c>
      <c r="M155" s="41">
        <f t="shared" si="11"/>
        <v>1650.43983</v>
      </c>
      <c r="N155" s="46">
        <f t="shared" si="9"/>
        <v>64.997138131337991</v>
      </c>
    </row>
    <row r="156" spans="1:14" ht="62.4" outlineLevel="1">
      <c r="A156" s="2" t="s">
        <v>90</v>
      </c>
      <c r="B156" s="1" t="s">
        <v>14</v>
      </c>
      <c r="C156" s="1" t="s">
        <v>107</v>
      </c>
      <c r="D156" s="1" t="s">
        <v>18</v>
      </c>
      <c r="E156" s="1" t="s">
        <v>154</v>
      </c>
      <c r="F156" s="1" t="s">
        <v>91</v>
      </c>
      <c r="G156" s="1"/>
      <c r="H156" s="1"/>
      <c r="I156" s="1"/>
      <c r="J156" s="1"/>
      <c r="K156" s="1"/>
      <c r="L156" s="41">
        <f>1252.8+1286.45</f>
        <v>2539.25</v>
      </c>
      <c r="M156" s="44">
        <v>1650.43983</v>
      </c>
      <c r="N156" s="46">
        <f t="shared" si="9"/>
        <v>64.997138131337991</v>
      </c>
    </row>
    <row r="157" spans="1:14" ht="15.6" outlineLevel="2">
      <c r="A157" s="5" t="s">
        <v>149</v>
      </c>
      <c r="B157" s="6" t="s">
        <v>14</v>
      </c>
      <c r="C157" s="6" t="s">
        <v>107</v>
      </c>
      <c r="D157" s="6" t="s">
        <v>20</v>
      </c>
      <c r="E157" s="6"/>
      <c r="F157" s="6"/>
      <c r="G157" s="6"/>
      <c r="H157" s="6"/>
      <c r="I157" s="6"/>
      <c r="J157" s="6"/>
      <c r="K157" s="6"/>
      <c r="L157" s="40">
        <f t="shared" ref="L157:M161" si="12">L158</f>
        <v>4013.75</v>
      </c>
      <c r="M157" s="40">
        <f t="shared" si="12"/>
        <v>3540.9620799999998</v>
      </c>
      <c r="N157" s="47">
        <f t="shared" si="9"/>
        <v>88.220793023980065</v>
      </c>
    </row>
    <row r="158" spans="1:14" ht="46.8" outlineLevel="3">
      <c r="A158" s="2" t="s">
        <v>21</v>
      </c>
      <c r="B158" s="1" t="s">
        <v>14</v>
      </c>
      <c r="C158" s="1" t="s">
        <v>107</v>
      </c>
      <c r="D158" s="1" t="s">
        <v>20</v>
      </c>
      <c r="E158" s="1" t="s">
        <v>22</v>
      </c>
      <c r="F158" s="1" t="s">
        <v>16</v>
      </c>
      <c r="G158" s="1"/>
      <c r="H158" s="1"/>
      <c r="I158" s="1"/>
      <c r="J158" s="1"/>
      <c r="K158" s="1"/>
      <c r="L158" s="41">
        <f t="shared" si="12"/>
        <v>4013.75</v>
      </c>
      <c r="M158" s="41">
        <f t="shared" si="12"/>
        <v>3540.9620799999998</v>
      </c>
      <c r="N158" s="46">
        <f t="shared" si="9"/>
        <v>88.220793023980065</v>
      </c>
    </row>
    <row r="159" spans="1:14" ht="31.2" outlineLevel="4">
      <c r="A159" s="2" t="s">
        <v>150</v>
      </c>
      <c r="B159" s="1" t="s">
        <v>14</v>
      </c>
      <c r="C159" s="1" t="s">
        <v>107</v>
      </c>
      <c r="D159" s="1" t="s">
        <v>20</v>
      </c>
      <c r="E159" s="1" t="s">
        <v>151</v>
      </c>
      <c r="F159" s="1" t="s">
        <v>16</v>
      </c>
      <c r="G159" s="1"/>
      <c r="H159" s="1"/>
      <c r="I159" s="1"/>
      <c r="J159" s="1"/>
      <c r="K159" s="1"/>
      <c r="L159" s="41">
        <f t="shared" si="12"/>
        <v>4013.75</v>
      </c>
      <c r="M159" s="41">
        <f t="shared" si="12"/>
        <v>3540.9620799999998</v>
      </c>
      <c r="N159" s="46">
        <f t="shared" si="9"/>
        <v>88.220793023980065</v>
      </c>
    </row>
    <row r="160" spans="1:14" ht="51.75" customHeight="1" outlineLevel="5">
      <c r="A160" s="2" t="s">
        <v>717</v>
      </c>
      <c r="B160" s="1" t="s">
        <v>14</v>
      </c>
      <c r="C160" s="1" t="s">
        <v>107</v>
      </c>
      <c r="D160" s="1" t="s">
        <v>20</v>
      </c>
      <c r="E160" s="1" t="s">
        <v>152</v>
      </c>
      <c r="F160" s="1" t="s">
        <v>16</v>
      </c>
      <c r="G160" s="1"/>
      <c r="H160" s="1"/>
      <c r="I160" s="1"/>
      <c r="J160" s="1"/>
      <c r="K160" s="1"/>
      <c r="L160" s="41">
        <f t="shared" si="12"/>
        <v>4013.75</v>
      </c>
      <c r="M160" s="41">
        <f t="shared" si="12"/>
        <v>3540.9620799999998</v>
      </c>
      <c r="N160" s="46">
        <f t="shared" si="9"/>
        <v>88.220793023980065</v>
      </c>
    </row>
    <row r="161" spans="1:14" ht="46.8" outlineLevel="6">
      <c r="A161" s="2" t="s">
        <v>153</v>
      </c>
      <c r="B161" s="1" t="s">
        <v>14</v>
      </c>
      <c r="C161" s="1" t="s">
        <v>107</v>
      </c>
      <c r="D161" s="1" t="s">
        <v>20</v>
      </c>
      <c r="E161" s="1" t="s">
        <v>154</v>
      </c>
      <c r="F161" s="1" t="s">
        <v>16</v>
      </c>
      <c r="G161" s="1"/>
      <c r="H161" s="1"/>
      <c r="I161" s="1"/>
      <c r="J161" s="1"/>
      <c r="K161" s="1"/>
      <c r="L161" s="41">
        <f t="shared" si="12"/>
        <v>4013.75</v>
      </c>
      <c r="M161" s="41">
        <f t="shared" si="12"/>
        <v>3540.9620799999998</v>
      </c>
      <c r="N161" s="46">
        <f t="shared" si="9"/>
        <v>88.220793023980065</v>
      </c>
    </row>
    <row r="162" spans="1:14" ht="61.5" customHeight="1" outlineLevel="7">
      <c r="A162" s="2" t="s">
        <v>90</v>
      </c>
      <c r="B162" s="1" t="s">
        <v>14</v>
      </c>
      <c r="C162" s="1" t="s">
        <v>107</v>
      </c>
      <c r="D162" s="1" t="s">
        <v>20</v>
      </c>
      <c r="E162" s="1" t="s">
        <v>154</v>
      </c>
      <c r="F162" s="1" t="s">
        <v>91</v>
      </c>
      <c r="G162" s="1"/>
      <c r="H162" s="1"/>
      <c r="I162" s="1"/>
      <c r="J162" s="1"/>
      <c r="K162" s="1"/>
      <c r="L162" s="41">
        <f>6553-1252.8-1286.45</f>
        <v>4013.75</v>
      </c>
      <c r="M162" s="44">
        <v>3540.9620799999998</v>
      </c>
      <c r="N162" s="46">
        <f t="shared" si="9"/>
        <v>88.220793023980065</v>
      </c>
    </row>
    <row r="163" spans="1:14" ht="31.2" outlineLevel="7">
      <c r="A163" s="3" t="s">
        <v>676</v>
      </c>
      <c r="B163" s="4" t="s">
        <v>675</v>
      </c>
      <c r="C163" s="4"/>
      <c r="D163" s="4"/>
      <c r="E163" s="4"/>
      <c r="F163" s="4"/>
      <c r="G163" s="4"/>
      <c r="H163" s="4"/>
      <c r="I163" s="4"/>
      <c r="J163" s="4"/>
      <c r="K163" s="4"/>
      <c r="L163" s="39">
        <f t="shared" ref="L163:M168" si="13">L164</f>
        <v>571.94000000000005</v>
      </c>
      <c r="M163" s="39">
        <f t="shared" si="13"/>
        <v>571.94000000000005</v>
      </c>
      <c r="N163" s="49">
        <f t="shared" si="9"/>
        <v>100</v>
      </c>
    </row>
    <row r="164" spans="1:14" ht="21.6" customHeight="1" outlineLevel="7">
      <c r="A164" s="3" t="s">
        <v>17</v>
      </c>
      <c r="B164" s="4" t="s">
        <v>675</v>
      </c>
      <c r="C164" s="4" t="s">
        <v>18</v>
      </c>
      <c r="D164" s="4"/>
      <c r="E164" s="4"/>
      <c r="F164" s="4"/>
      <c r="G164" s="4"/>
      <c r="H164" s="4"/>
      <c r="I164" s="4"/>
      <c r="J164" s="4"/>
      <c r="K164" s="4"/>
      <c r="L164" s="39">
        <f t="shared" si="13"/>
        <v>571.94000000000005</v>
      </c>
      <c r="M164" s="39">
        <f t="shared" si="13"/>
        <v>571.94000000000005</v>
      </c>
      <c r="N164" s="49">
        <f t="shared" si="9"/>
        <v>100</v>
      </c>
    </row>
    <row r="165" spans="1:14" ht="31.2" outlineLevel="7">
      <c r="A165" s="5" t="s">
        <v>677</v>
      </c>
      <c r="B165" s="6" t="s">
        <v>675</v>
      </c>
      <c r="C165" s="6" t="s">
        <v>18</v>
      </c>
      <c r="D165" s="6" t="s">
        <v>365</v>
      </c>
      <c r="E165" s="6"/>
      <c r="F165" s="6"/>
      <c r="G165" s="6"/>
      <c r="H165" s="6"/>
      <c r="I165" s="6"/>
      <c r="J165" s="6"/>
      <c r="K165" s="6"/>
      <c r="L165" s="40">
        <f t="shared" si="13"/>
        <v>571.94000000000005</v>
      </c>
      <c r="M165" s="40">
        <f t="shared" si="13"/>
        <v>571.94000000000005</v>
      </c>
      <c r="N165" s="47">
        <f t="shared" si="9"/>
        <v>100</v>
      </c>
    </row>
    <row r="166" spans="1:14" ht="31.2" outlineLevel="7">
      <c r="A166" s="2" t="s">
        <v>158</v>
      </c>
      <c r="B166" s="1" t="s">
        <v>675</v>
      </c>
      <c r="C166" s="1" t="s">
        <v>18</v>
      </c>
      <c r="D166" s="1" t="s">
        <v>365</v>
      </c>
      <c r="E166" s="1" t="s">
        <v>159</v>
      </c>
      <c r="F166" s="1" t="s">
        <v>16</v>
      </c>
      <c r="G166" s="1"/>
      <c r="H166" s="1"/>
      <c r="I166" s="1"/>
      <c r="J166" s="1"/>
      <c r="K166" s="1"/>
      <c r="L166" s="41">
        <f t="shared" si="13"/>
        <v>571.94000000000005</v>
      </c>
      <c r="M166" s="41">
        <f t="shared" si="13"/>
        <v>571.94000000000005</v>
      </c>
      <c r="N166" s="46">
        <f t="shared" si="9"/>
        <v>100</v>
      </c>
    </row>
    <row r="167" spans="1:14" ht="21.6" customHeight="1" outlineLevel="7">
      <c r="A167" s="2" t="s">
        <v>160</v>
      </c>
      <c r="B167" s="1" t="s">
        <v>675</v>
      </c>
      <c r="C167" s="1" t="s">
        <v>18</v>
      </c>
      <c r="D167" s="1" t="s">
        <v>365</v>
      </c>
      <c r="E167" s="1" t="s">
        <v>161</v>
      </c>
      <c r="F167" s="1" t="s">
        <v>16</v>
      </c>
      <c r="G167" s="1"/>
      <c r="H167" s="1"/>
      <c r="I167" s="1"/>
      <c r="J167" s="1"/>
      <c r="K167" s="1"/>
      <c r="L167" s="41">
        <f t="shared" si="13"/>
        <v>571.94000000000005</v>
      </c>
      <c r="M167" s="41">
        <f t="shared" si="13"/>
        <v>571.94000000000005</v>
      </c>
      <c r="N167" s="46">
        <f t="shared" si="9"/>
        <v>100</v>
      </c>
    </row>
    <row r="168" spans="1:14" ht="46.8" outlineLevel="7">
      <c r="A168" s="2" t="s">
        <v>678</v>
      </c>
      <c r="B168" s="1" t="s">
        <v>675</v>
      </c>
      <c r="C168" s="1" t="s">
        <v>18</v>
      </c>
      <c r="D168" s="1" t="s">
        <v>365</v>
      </c>
      <c r="E168" s="1" t="s">
        <v>679</v>
      </c>
      <c r="F168" s="1" t="s">
        <v>16</v>
      </c>
      <c r="G168" s="1"/>
      <c r="H168" s="1"/>
      <c r="I168" s="1"/>
      <c r="J168" s="1"/>
      <c r="K168" s="1"/>
      <c r="L168" s="41">
        <f t="shared" si="13"/>
        <v>571.94000000000005</v>
      </c>
      <c r="M168" s="41">
        <f t="shared" si="13"/>
        <v>571.94000000000005</v>
      </c>
      <c r="N168" s="46">
        <f t="shared" si="9"/>
        <v>100</v>
      </c>
    </row>
    <row r="169" spans="1:14" ht="15.6" outlineLevel="7">
      <c r="A169" s="2" t="s">
        <v>687</v>
      </c>
      <c r="B169" s="1" t="s">
        <v>675</v>
      </c>
      <c r="C169" s="1" t="s">
        <v>18</v>
      </c>
      <c r="D169" s="1" t="s">
        <v>365</v>
      </c>
      <c r="E169" s="1" t="s">
        <v>679</v>
      </c>
      <c r="F169" s="1" t="s">
        <v>60</v>
      </c>
      <c r="G169" s="1"/>
      <c r="H169" s="1"/>
      <c r="I169" s="1"/>
      <c r="J169" s="1"/>
      <c r="K169" s="1"/>
      <c r="L169" s="41">
        <v>571.94000000000005</v>
      </c>
      <c r="M169" s="41">
        <v>571.94000000000005</v>
      </c>
      <c r="N169" s="46">
        <f t="shared" si="9"/>
        <v>100</v>
      </c>
    </row>
    <row r="170" spans="1:14" ht="15.6">
      <c r="A170" s="3" t="s">
        <v>155</v>
      </c>
      <c r="B170" s="4" t="s">
        <v>156</v>
      </c>
      <c r="C170" s="4"/>
      <c r="D170" s="4"/>
      <c r="E170" s="4"/>
      <c r="F170" s="4"/>
      <c r="G170" s="4"/>
      <c r="H170" s="4"/>
      <c r="I170" s="4"/>
      <c r="J170" s="4"/>
      <c r="K170" s="4"/>
      <c r="L170" s="39">
        <f t="shared" ref="L170:M173" si="14">L171</f>
        <v>5538.4</v>
      </c>
      <c r="M170" s="39">
        <f t="shared" si="14"/>
        <v>5397.8061699999998</v>
      </c>
      <c r="N170" s="49">
        <f t="shared" si="9"/>
        <v>97.461472085800963</v>
      </c>
    </row>
    <row r="171" spans="1:14" ht="19.5" customHeight="1" outlineLevel="1">
      <c r="A171" s="3" t="s">
        <v>17</v>
      </c>
      <c r="B171" s="4" t="s">
        <v>156</v>
      </c>
      <c r="C171" s="4" t="s">
        <v>18</v>
      </c>
      <c r="D171" s="4"/>
      <c r="E171" s="4"/>
      <c r="F171" s="4"/>
      <c r="G171" s="4"/>
      <c r="H171" s="4"/>
      <c r="I171" s="4"/>
      <c r="J171" s="4"/>
      <c r="K171" s="4"/>
      <c r="L171" s="39">
        <f t="shared" si="14"/>
        <v>5538.4</v>
      </c>
      <c r="M171" s="39">
        <f t="shared" si="14"/>
        <v>5397.8061699999998</v>
      </c>
      <c r="N171" s="49">
        <f t="shared" si="9"/>
        <v>97.461472085800963</v>
      </c>
    </row>
    <row r="172" spans="1:14" ht="65.25" customHeight="1" outlineLevel="2">
      <c r="A172" s="5" t="s">
        <v>157</v>
      </c>
      <c r="B172" s="6" t="s">
        <v>156</v>
      </c>
      <c r="C172" s="6" t="s">
        <v>18</v>
      </c>
      <c r="D172" s="6" t="s">
        <v>93</v>
      </c>
      <c r="E172" s="6"/>
      <c r="F172" s="6"/>
      <c r="G172" s="6"/>
      <c r="H172" s="6"/>
      <c r="I172" s="6"/>
      <c r="J172" s="6"/>
      <c r="K172" s="6"/>
      <c r="L172" s="40">
        <f t="shared" si="14"/>
        <v>5538.4</v>
      </c>
      <c r="M172" s="40">
        <f t="shared" si="14"/>
        <v>5397.8061699999998</v>
      </c>
      <c r="N172" s="47">
        <f t="shared" si="9"/>
        <v>97.461472085800963</v>
      </c>
    </row>
    <row r="173" spans="1:14" ht="31.2" outlineLevel="3">
      <c r="A173" s="2" t="s">
        <v>158</v>
      </c>
      <c r="B173" s="1" t="s">
        <v>156</v>
      </c>
      <c r="C173" s="1" t="s">
        <v>18</v>
      </c>
      <c r="D173" s="1" t="s">
        <v>93</v>
      </c>
      <c r="E173" s="1" t="s">
        <v>159</v>
      </c>
      <c r="F173" s="1" t="s">
        <v>16</v>
      </c>
      <c r="G173" s="1"/>
      <c r="H173" s="1"/>
      <c r="I173" s="1"/>
      <c r="J173" s="1"/>
      <c r="K173" s="1"/>
      <c r="L173" s="41">
        <f t="shared" si="14"/>
        <v>5538.4</v>
      </c>
      <c r="M173" s="41">
        <f t="shared" si="14"/>
        <v>5397.8061699999998</v>
      </c>
      <c r="N173" s="46">
        <f t="shared" si="9"/>
        <v>97.461472085800963</v>
      </c>
    </row>
    <row r="174" spans="1:14" ht="15.6" outlineLevel="4">
      <c r="A174" s="2" t="s">
        <v>160</v>
      </c>
      <c r="B174" s="1" t="s">
        <v>156</v>
      </c>
      <c r="C174" s="1" t="s">
        <v>18</v>
      </c>
      <c r="D174" s="1" t="s">
        <v>93</v>
      </c>
      <c r="E174" s="1" t="s">
        <v>161</v>
      </c>
      <c r="F174" s="1" t="s">
        <v>16</v>
      </c>
      <c r="G174" s="1"/>
      <c r="H174" s="1"/>
      <c r="I174" s="1"/>
      <c r="J174" s="1"/>
      <c r="K174" s="1"/>
      <c r="L174" s="41">
        <f>L175+L177+L181+L183</f>
        <v>5538.4</v>
      </c>
      <c r="M174" s="41">
        <f>M175+M177+M181+M183</f>
        <v>5397.8061699999998</v>
      </c>
      <c r="N174" s="46">
        <f t="shared" si="9"/>
        <v>97.461472085800963</v>
      </c>
    </row>
    <row r="175" spans="1:14" ht="31.2" outlineLevel="6">
      <c r="A175" s="2" t="s">
        <v>33</v>
      </c>
      <c r="B175" s="1" t="s">
        <v>156</v>
      </c>
      <c r="C175" s="1" t="s">
        <v>18</v>
      </c>
      <c r="D175" s="1" t="s">
        <v>93</v>
      </c>
      <c r="E175" s="1" t="s">
        <v>162</v>
      </c>
      <c r="F175" s="1" t="s">
        <v>16</v>
      </c>
      <c r="G175" s="1"/>
      <c r="H175" s="1"/>
      <c r="I175" s="1"/>
      <c r="J175" s="1"/>
      <c r="K175" s="1"/>
      <c r="L175" s="41">
        <f>L176</f>
        <v>1755.6999999999998</v>
      </c>
      <c r="M175" s="41">
        <f>M176</f>
        <v>1751.9262699999999</v>
      </c>
      <c r="N175" s="46">
        <f t="shared" si="9"/>
        <v>99.785058381272435</v>
      </c>
    </row>
    <row r="176" spans="1:14" ht="109.2" outlineLevel="7">
      <c r="A176" s="2" t="s">
        <v>29</v>
      </c>
      <c r="B176" s="1" t="s">
        <v>156</v>
      </c>
      <c r="C176" s="1" t="s">
        <v>18</v>
      </c>
      <c r="D176" s="1" t="s">
        <v>93</v>
      </c>
      <c r="E176" s="1" t="s">
        <v>162</v>
      </c>
      <c r="F176" s="1" t="s">
        <v>30</v>
      </c>
      <c r="G176" s="1"/>
      <c r="H176" s="1"/>
      <c r="I176" s="1"/>
      <c r="J176" s="1"/>
      <c r="K176" s="1"/>
      <c r="L176" s="41">
        <f>2061.7-306</f>
        <v>1755.6999999999998</v>
      </c>
      <c r="M176" s="44">
        <v>1751.9262699999999</v>
      </c>
      <c r="N176" s="46">
        <f t="shared" si="9"/>
        <v>99.785058381272435</v>
      </c>
    </row>
    <row r="177" spans="1:14" ht="31.2" outlineLevel="6">
      <c r="A177" s="2" t="s">
        <v>35</v>
      </c>
      <c r="B177" s="1" t="s">
        <v>156</v>
      </c>
      <c r="C177" s="1" t="s">
        <v>18</v>
      </c>
      <c r="D177" s="1" t="s">
        <v>93</v>
      </c>
      <c r="E177" s="1" t="s">
        <v>163</v>
      </c>
      <c r="F177" s="1" t="s">
        <v>16</v>
      </c>
      <c r="G177" s="1"/>
      <c r="H177" s="1"/>
      <c r="I177" s="1"/>
      <c r="J177" s="1"/>
      <c r="K177" s="1"/>
      <c r="L177" s="41">
        <f>L178+L179+L180</f>
        <v>607.20000000000005</v>
      </c>
      <c r="M177" s="41">
        <f>M178+M179+M180</f>
        <v>470.86801000000003</v>
      </c>
      <c r="N177" s="46">
        <f t="shared" si="9"/>
        <v>77.547432476943342</v>
      </c>
    </row>
    <row r="178" spans="1:14" ht="109.2" outlineLevel="7">
      <c r="A178" s="2" t="s">
        <v>29</v>
      </c>
      <c r="B178" s="1" t="s">
        <v>156</v>
      </c>
      <c r="C178" s="1" t="s">
        <v>18</v>
      </c>
      <c r="D178" s="1" t="s">
        <v>93</v>
      </c>
      <c r="E178" s="1" t="s">
        <v>163</v>
      </c>
      <c r="F178" s="1" t="s">
        <v>30</v>
      </c>
      <c r="G178" s="1"/>
      <c r="H178" s="1"/>
      <c r="I178" s="1"/>
      <c r="J178" s="1"/>
      <c r="K178" s="1"/>
      <c r="L178" s="41">
        <v>8</v>
      </c>
      <c r="M178" s="44">
        <v>0</v>
      </c>
      <c r="N178" s="46">
        <f t="shared" si="9"/>
        <v>0</v>
      </c>
    </row>
    <row r="179" spans="1:14" ht="46.8" outlineLevel="7">
      <c r="A179" s="2" t="s">
        <v>41</v>
      </c>
      <c r="B179" s="1" t="s">
        <v>156</v>
      </c>
      <c r="C179" s="1" t="s">
        <v>18</v>
      </c>
      <c r="D179" s="1" t="s">
        <v>93</v>
      </c>
      <c r="E179" s="1" t="s">
        <v>163</v>
      </c>
      <c r="F179" s="1" t="s">
        <v>42</v>
      </c>
      <c r="G179" s="1"/>
      <c r="H179" s="1"/>
      <c r="I179" s="1"/>
      <c r="J179" s="1"/>
      <c r="K179" s="1"/>
      <c r="L179" s="41">
        <f>604.2-10</f>
        <v>594.20000000000005</v>
      </c>
      <c r="M179" s="44">
        <v>469.61801000000003</v>
      </c>
      <c r="N179" s="46">
        <f t="shared" ref="N179:N242" si="15">M179/L179*100</f>
        <v>79.03366038370919</v>
      </c>
    </row>
    <row r="180" spans="1:14" ht="15.6" outlineLevel="7">
      <c r="A180" s="2" t="s">
        <v>59</v>
      </c>
      <c r="B180" s="1" t="s">
        <v>156</v>
      </c>
      <c r="C180" s="1" t="s">
        <v>18</v>
      </c>
      <c r="D180" s="1" t="s">
        <v>93</v>
      </c>
      <c r="E180" s="1" t="s">
        <v>163</v>
      </c>
      <c r="F180" s="1" t="s">
        <v>60</v>
      </c>
      <c r="G180" s="1"/>
      <c r="H180" s="1"/>
      <c r="I180" s="1"/>
      <c r="J180" s="1"/>
      <c r="K180" s="1"/>
      <c r="L180" s="41">
        <v>5</v>
      </c>
      <c r="M180" s="44">
        <v>1.25</v>
      </c>
      <c r="N180" s="46">
        <f t="shared" si="15"/>
        <v>25</v>
      </c>
    </row>
    <row r="181" spans="1:14" ht="31.2" outlineLevel="6">
      <c r="A181" s="2" t="s">
        <v>164</v>
      </c>
      <c r="B181" s="1" t="s">
        <v>156</v>
      </c>
      <c r="C181" s="1" t="s">
        <v>18</v>
      </c>
      <c r="D181" s="1" t="s">
        <v>93</v>
      </c>
      <c r="E181" s="1" t="s">
        <v>165</v>
      </c>
      <c r="F181" s="1" t="s">
        <v>16</v>
      </c>
      <c r="G181" s="1"/>
      <c r="H181" s="1"/>
      <c r="I181" s="1"/>
      <c r="J181" s="1"/>
      <c r="K181" s="1"/>
      <c r="L181" s="41">
        <f>L182</f>
        <v>1226.0999999999999</v>
      </c>
      <c r="M181" s="41">
        <f>M182</f>
        <v>1225.6118899999999</v>
      </c>
      <c r="N181" s="46">
        <f t="shared" si="15"/>
        <v>99.96019003343936</v>
      </c>
    </row>
    <row r="182" spans="1:14" ht="109.2" outlineLevel="7">
      <c r="A182" s="2" t="s">
        <v>29</v>
      </c>
      <c r="B182" s="1" t="s">
        <v>156</v>
      </c>
      <c r="C182" s="1" t="s">
        <v>18</v>
      </c>
      <c r="D182" s="1" t="s">
        <v>93</v>
      </c>
      <c r="E182" s="1" t="s">
        <v>165</v>
      </c>
      <c r="F182" s="1" t="s">
        <v>30</v>
      </c>
      <c r="G182" s="1"/>
      <c r="H182" s="1"/>
      <c r="I182" s="1"/>
      <c r="J182" s="1"/>
      <c r="K182" s="1"/>
      <c r="L182" s="41">
        <f>1226.1</f>
        <v>1226.0999999999999</v>
      </c>
      <c r="M182" s="44">
        <v>1225.6118899999999</v>
      </c>
      <c r="N182" s="46">
        <f t="shared" si="15"/>
        <v>99.96019003343936</v>
      </c>
    </row>
    <row r="183" spans="1:14" ht="31.2" outlineLevel="6">
      <c r="A183" s="2" t="s">
        <v>166</v>
      </c>
      <c r="B183" s="1" t="s">
        <v>156</v>
      </c>
      <c r="C183" s="1" t="s">
        <v>18</v>
      </c>
      <c r="D183" s="1" t="s">
        <v>93</v>
      </c>
      <c r="E183" s="1" t="s">
        <v>167</v>
      </c>
      <c r="F183" s="1" t="s">
        <v>16</v>
      </c>
      <c r="G183" s="1"/>
      <c r="H183" s="1"/>
      <c r="I183" s="1"/>
      <c r="J183" s="1"/>
      <c r="K183" s="1"/>
      <c r="L183" s="41">
        <f>L184</f>
        <v>1949.4</v>
      </c>
      <c r="M183" s="41">
        <f>M184</f>
        <v>1949.4</v>
      </c>
      <c r="N183" s="46">
        <f t="shared" si="15"/>
        <v>100</v>
      </c>
    </row>
    <row r="184" spans="1:14" ht="109.2" outlineLevel="7">
      <c r="A184" s="2" t="s">
        <v>29</v>
      </c>
      <c r="B184" s="1" t="s">
        <v>156</v>
      </c>
      <c r="C184" s="1" t="s">
        <v>18</v>
      </c>
      <c r="D184" s="1" t="s">
        <v>93</v>
      </c>
      <c r="E184" s="1" t="s">
        <v>167</v>
      </c>
      <c r="F184" s="1" t="s">
        <v>30</v>
      </c>
      <c r="G184" s="1"/>
      <c r="H184" s="1"/>
      <c r="I184" s="1"/>
      <c r="J184" s="1"/>
      <c r="K184" s="1"/>
      <c r="L184" s="41">
        <f>1939.4+10</f>
        <v>1949.4</v>
      </c>
      <c r="M184" s="41">
        <f>1939.4+10</f>
        <v>1949.4</v>
      </c>
      <c r="N184" s="46">
        <f t="shared" si="15"/>
        <v>100</v>
      </c>
    </row>
    <row r="185" spans="1:14" ht="31.2">
      <c r="A185" s="3" t="s">
        <v>168</v>
      </c>
      <c r="B185" s="4" t="s">
        <v>169</v>
      </c>
      <c r="C185" s="4"/>
      <c r="D185" s="4"/>
      <c r="E185" s="4"/>
      <c r="F185" s="4"/>
      <c r="G185" s="4"/>
      <c r="H185" s="4"/>
      <c r="I185" s="4"/>
      <c r="J185" s="4"/>
      <c r="K185" s="4"/>
      <c r="L185" s="39">
        <f>L186+L214+L267+L347</f>
        <v>486226.10306999995</v>
      </c>
      <c r="M185" s="39">
        <f>M186+M214+M267+M347</f>
        <v>368749.01126999996</v>
      </c>
      <c r="N185" s="49">
        <f t="shared" si="15"/>
        <v>75.838999375340549</v>
      </c>
    </row>
    <row r="186" spans="1:14" ht="46.8" outlineLevel="1">
      <c r="A186" s="3" t="s">
        <v>92</v>
      </c>
      <c r="B186" s="4" t="s">
        <v>169</v>
      </c>
      <c r="C186" s="4" t="s">
        <v>93</v>
      </c>
      <c r="D186" s="4"/>
      <c r="E186" s="4"/>
      <c r="F186" s="4"/>
      <c r="G186" s="4"/>
      <c r="H186" s="4"/>
      <c r="I186" s="4"/>
      <c r="J186" s="4"/>
      <c r="K186" s="4"/>
      <c r="L186" s="39">
        <f>L187</f>
        <v>12023.800000000001</v>
      </c>
      <c r="M186" s="39">
        <f>M187</f>
        <v>11629.116239999999</v>
      </c>
      <c r="N186" s="49">
        <f t="shared" si="15"/>
        <v>96.717478999983356</v>
      </c>
    </row>
    <row r="187" spans="1:14" ht="62.4" outlineLevel="2">
      <c r="A187" s="5" t="s">
        <v>170</v>
      </c>
      <c r="B187" s="6" t="s">
        <v>169</v>
      </c>
      <c r="C187" s="6" t="s">
        <v>93</v>
      </c>
      <c r="D187" s="6" t="s">
        <v>171</v>
      </c>
      <c r="E187" s="6"/>
      <c r="F187" s="6"/>
      <c r="G187" s="6"/>
      <c r="H187" s="6"/>
      <c r="I187" s="6"/>
      <c r="J187" s="6"/>
      <c r="K187" s="6"/>
      <c r="L187" s="40">
        <f>L188+L194</f>
        <v>12023.800000000001</v>
      </c>
      <c r="M187" s="40">
        <f>M188+M194</f>
        <v>11629.116239999999</v>
      </c>
      <c r="N187" s="47">
        <f t="shared" si="15"/>
        <v>96.717478999983356</v>
      </c>
    </row>
    <row r="188" spans="1:14" ht="78" outlineLevel="3">
      <c r="A188" s="2" t="s">
        <v>172</v>
      </c>
      <c r="B188" s="1" t="s">
        <v>169</v>
      </c>
      <c r="C188" s="1" t="s">
        <v>93</v>
      </c>
      <c r="D188" s="1" t="s">
        <v>171</v>
      </c>
      <c r="E188" s="1" t="s">
        <v>173</v>
      </c>
      <c r="F188" s="1" t="s">
        <v>16</v>
      </c>
      <c r="G188" s="1"/>
      <c r="H188" s="1"/>
      <c r="I188" s="1"/>
      <c r="J188" s="1"/>
      <c r="K188" s="1"/>
      <c r="L188" s="41">
        <f>L189</f>
        <v>200</v>
      </c>
      <c r="M188" s="41">
        <f>M189</f>
        <v>200</v>
      </c>
      <c r="N188" s="46">
        <f t="shared" si="15"/>
        <v>100</v>
      </c>
    </row>
    <row r="189" spans="1:14" ht="50.25" customHeight="1" outlineLevel="5">
      <c r="A189" s="2" t="s">
        <v>174</v>
      </c>
      <c r="B189" s="1" t="s">
        <v>169</v>
      </c>
      <c r="C189" s="1" t="s">
        <v>93</v>
      </c>
      <c r="D189" s="1" t="s">
        <v>171</v>
      </c>
      <c r="E189" s="1" t="s">
        <v>175</v>
      </c>
      <c r="F189" s="1" t="s">
        <v>16</v>
      </c>
      <c r="G189" s="1"/>
      <c r="H189" s="1"/>
      <c r="I189" s="1"/>
      <c r="J189" s="1"/>
      <c r="K189" s="1"/>
      <c r="L189" s="41">
        <f>L190+L192</f>
        <v>200</v>
      </c>
      <c r="M189" s="41">
        <f>M190+M192</f>
        <v>200</v>
      </c>
      <c r="N189" s="46">
        <f t="shared" si="15"/>
        <v>100</v>
      </c>
    </row>
    <row r="190" spans="1:14" ht="46.8" outlineLevel="6">
      <c r="A190" s="2" t="s">
        <v>176</v>
      </c>
      <c r="B190" s="1" t="s">
        <v>169</v>
      </c>
      <c r="C190" s="1" t="s">
        <v>93</v>
      </c>
      <c r="D190" s="1" t="s">
        <v>171</v>
      </c>
      <c r="E190" s="1" t="s">
        <v>177</v>
      </c>
      <c r="F190" s="1" t="s">
        <v>16</v>
      </c>
      <c r="G190" s="1"/>
      <c r="H190" s="1"/>
      <c r="I190" s="1"/>
      <c r="J190" s="1"/>
      <c r="K190" s="1"/>
      <c r="L190" s="41">
        <f>L191</f>
        <v>67.900000000000006</v>
      </c>
      <c r="M190" s="41">
        <f>M191</f>
        <v>67.900000000000006</v>
      </c>
      <c r="N190" s="46">
        <f t="shared" si="15"/>
        <v>100</v>
      </c>
    </row>
    <row r="191" spans="1:14" ht="46.8" outlineLevel="7">
      <c r="A191" s="2" t="s">
        <v>41</v>
      </c>
      <c r="B191" s="1" t="s">
        <v>169</v>
      </c>
      <c r="C191" s="1" t="s">
        <v>93</v>
      </c>
      <c r="D191" s="1" t="s">
        <v>171</v>
      </c>
      <c r="E191" s="1" t="s">
        <v>177</v>
      </c>
      <c r="F191" s="1" t="s">
        <v>42</v>
      </c>
      <c r="G191" s="1"/>
      <c r="H191" s="1"/>
      <c r="I191" s="1"/>
      <c r="J191" s="1"/>
      <c r="K191" s="1"/>
      <c r="L191" s="41">
        <f>200-132.1</f>
        <v>67.900000000000006</v>
      </c>
      <c r="M191" s="41">
        <f>200-132.1</f>
        <v>67.900000000000006</v>
      </c>
      <c r="N191" s="46">
        <f t="shared" si="15"/>
        <v>100</v>
      </c>
    </row>
    <row r="192" spans="1:14" ht="62.4" outlineLevel="7">
      <c r="A192" s="2" t="s">
        <v>700</v>
      </c>
      <c r="B192" s="1" t="s">
        <v>169</v>
      </c>
      <c r="C192" s="1" t="s">
        <v>93</v>
      </c>
      <c r="D192" s="1" t="s">
        <v>171</v>
      </c>
      <c r="E192" s="1" t="s">
        <v>699</v>
      </c>
      <c r="F192" s="1" t="s">
        <v>16</v>
      </c>
      <c r="G192" s="1"/>
      <c r="H192" s="1"/>
      <c r="I192" s="1"/>
      <c r="J192" s="1"/>
      <c r="K192" s="1"/>
      <c r="L192" s="41">
        <f>L193</f>
        <v>132.1</v>
      </c>
      <c r="M192" s="41">
        <f>M193</f>
        <v>132.1</v>
      </c>
      <c r="N192" s="46">
        <f t="shared" si="15"/>
        <v>100</v>
      </c>
    </row>
    <row r="193" spans="1:14" ht="46.5" customHeight="1" outlineLevel="3">
      <c r="A193" s="2" t="s">
        <v>41</v>
      </c>
      <c r="B193" s="1" t="s">
        <v>169</v>
      </c>
      <c r="C193" s="1" t="s">
        <v>93</v>
      </c>
      <c r="D193" s="1" t="s">
        <v>171</v>
      </c>
      <c r="E193" s="1" t="s">
        <v>699</v>
      </c>
      <c r="F193" s="1" t="s">
        <v>42</v>
      </c>
      <c r="G193" s="1"/>
      <c r="H193" s="1"/>
      <c r="I193" s="1"/>
      <c r="J193" s="1"/>
      <c r="K193" s="1"/>
      <c r="L193" s="41">
        <v>132.1</v>
      </c>
      <c r="M193" s="41">
        <v>132.1</v>
      </c>
      <c r="N193" s="46">
        <f t="shared" si="15"/>
        <v>100</v>
      </c>
    </row>
    <row r="194" spans="1:14" ht="46.5" customHeight="1" outlineLevel="3">
      <c r="A194" s="2" t="s">
        <v>178</v>
      </c>
      <c r="B194" s="1" t="s">
        <v>169</v>
      </c>
      <c r="C194" s="1" t="s">
        <v>93</v>
      </c>
      <c r="D194" s="1" t="s">
        <v>171</v>
      </c>
      <c r="E194" s="1" t="s">
        <v>179</v>
      </c>
      <c r="F194" s="1" t="s">
        <v>16</v>
      </c>
      <c r="G194" s="1"/>
      <c r="H194" s="1"/>
      <c r="I194" s="1"/>
      <c r="J194" s="1"/>
      <c r="K194" s="1"/>
      <c r="L194" s="41">
        <f>L195+L207</f>
        <v>11823.800000000001</v>
      </c>
      <c r="M194" s="41">
        <f>M195+M207</f>
        <v>11429.116239999999</v>
      </c>
      <c r="N194" s="46">
        <f t="shared" si="15"/>
        <v>96.661955039834893</v>
      </c>
    </row>
    <row r="195" spans="1:14" ht="99" customHeight="1" outlineLevel="4">
      <c r="A195" s="2" t="s">
        <v>180</v>
      </c>
      <c r="B195" s="1" t="s">
        <v>169</v>
      </c>
      <c r="C195" s="1" t="s">
        <v>93</v>
      </c>
      <c r="D195" s="1" t="s">
        <v>171</v>
      </c>
      <c r="E195" s="1" t="s">
        <v>181</v>
      </c>
      <c r="F195" s="1" t="s">
        <v>16</v>
      </c>
      <c r="G195" s="1"/>
      <c r="H195" s="1"/>
      <c r="I195" s="1"/>
      <c r="J195" s="1"/>
      <c r="K195" s="1"/>
      <c r="L195" s="41">
        <f>L196+L201+L204</f>
        <v>11209.12</v>
      </c>
      <c r="M195" s="41">
        <f>M196+M201+M204</f>
        <v>10874.45507</v>
      </c>
      <c r="N195" s="46">
        <f t="shared" si="15"/>
        <v>97.014351438828371</v>
      </c>
    </row>
    <row r="196" spans="1:14" ht="93.6" outlineLevel="5">
      <c r="A196" s="2" t="s">
        <v>182</v>
      </c>
      <c r="B196" s="1" t="s">
        <v>169</v>
      </c>
      <c r="C196" s="1" t="s">
        <v>93</v>
      </c>
      <c r="D196" s="1" t="s">
        <v>171</v>
      </c>
      <c r="E196" s="1" t="s">
        <v>183</v>
      </c>
      <c r="F196" s="1" t="s">
        <v>16</v>
      </c>
      <c r="G196" s="1"/>
      <c r="H196" s="1"/>
      <c r="I196" s="1"/>
      <c r="J196" s="1"/>
      <c r="K196" s="1"/>
      <c r="L196" s="41">
        <f>L197</f>
        <v>10823.52</v>
      </c>
      <c r="M196" s="41">
        <f>M197</f>
        <v>10493.80431</v>
      </c>
      <c r="N196" s="46">
        <f t="shared" si="15"/>
        <v>96.953711084748761</v>
      </c>
    </row>
    <row r="197" spans="1:14" ht="78" outlineLevel="6">
      <c r="A197" s="2" t="s">
        <v>184</v>
      </c>
      <c r="B197" s="1" t="s">
        <v>169</v>
      </c>
      <c r="C197" s="1" t="s">
        <v>93</v>
      </c>
      <c r="D197" s="1" t="s">
        <v>171</v>
      </c>
      <c r="E197" s="1" t="s">
        <v>185</v>
      </c>
      <c r="F197" s="1" t="s">
        <v>16</v>
      </c>
      <c r="G197" s="1"/>
      <c r="H197" s="1"/>
      <c r="I197" s="1"/>
      <c r="J197" s="1"/>
      <c r="K197" s="1"/>
      <c r="L197" s="41">
        <f>L198+L199+L200</f>
        <v>10823.52</v>
      </c>
      <c r="M197" s="41">
        <f>M198+M199+M200</f>
        <v>10493.80431</v>
      </c>
      <c r="N197" s="46">
        <f t="shared" si="15"/>
        <v>96.953711084748761</v>
      </c>
    </row>
    <row r="198" spans="1:14" ht="109.2" outlineLevel="7">
      <c r="A198" s="2" t="s">
        <v>29</v>
      </c>
      <c r="B198" s="1" t="s">
        <v>169</v>
      </c>
      <c r="C198" s="1" t="s">
        <v>93</v>
      </c>
      <c r="D198" s="1" t="s">
        <v>171</v>
      </c>
      <c r="E198" s="1" t="s">
        <v>185</v>
      </c>
      <c r="F198" s="1" t="s">
        <v>30</v>
      </c>
      <c r="G198" s="1"/>
      <c r="H198" s="1"/>
      <c r="I198" s="1"/>
      <c r="J198" s="1"/>
      <c r="K198" s="1"/>
      <c r="L198" s="41">
        <f>9046.3+9.85</f>
        <v>9056.15</v>
      </c>
      <c r="M198" s="44">
        <v>9006.4504300000008</v>
      </c>
      <c r="N198" s="46">
        <f t="shared" si="15"/>
        <v>99.451206417738234</v>
      </c>
    </row>
    <row r="199" spans="1:14" ht="46.8" outlineLevel="7">
      <c r="A199" s="2" t="s">
        <v>41</v>
      </c>
      <c r="B199" s="1" t="s">
        <v>169</v>
      </c>
      <c r="C199" s="1" t="s">
        <v>93</v>
      </c>
      <c r="D199" s="1" t="s">
        <v>171</v>
      </c>
      <c r="E199" s="1" t="s">
        <v>185</v>
      </c>
      <c r="F199" s="1" t="s">
        <v>42</v>
      </c>
      <c r="G199" s="1"/>
      <c r="H199" s="1"/>
      <c r="I199" s="1"/>
      <c r="J199" s="1"/>
      <c r="K199" s="1"/>
      <c r="L199" s="41">
        <f>1717.42+21.96553-2.169-97.05</f>
        <v>1640.16653</v>
      </c>
      <c r="M199" s="44">
        <v>1377.38518</v>
      </c>
      <c r="N199" s="46">
        <f t="shared" si="15"/>
        <v>83.978373830125648</v>
      </c>
    </row>
    <row r="200" spans="1:14" ht="15.6" outlineLevel="7">
      <c r="A200" s="2" t="s">
        <v>59</v>
      </c>
      <c r="B200" s="1" t="s">
        <v>169</v>
      </c>
      <c r="C200" s="1" t="s">
        <v>93</v>
      </c>
      <c r="D200" s="1" t="s">
        <v>171</v>
      </c>
      <c r="E200" s="1" t="s">
        <v>185</v>
      </c>
      <c r="F200" s="1" t="s">
        <v>60</v>
      </c>
      <c r="G200" s="1"/>
      <c r="H200" s="1"/>
      <c r="I200" s="1"/>
      <c r="J200" s="1"/>
      <c r="K200" s="1"/>
      <c r="L200" s="41">
        <f>147-21.96553+2.169</f>
        <v>127.20347</v>
      </c>
      <c r="M200" s="44">
        <v>109.9687</v>
      </c>
      <c r="N200" s="46">
        <f t="shared" si="15"/>
        <v>86.451022130135286</v>
      </c>
    </row>
    <row r="201" spans="1:14" ht="62.4" outlineLevel="5">
      <c r="A201" s="2" t="s">
        <v>186</v>
      </c>
      <c r="B201" s="1" t="s">
        <v>169</v>
      </c>
      <c r="C201" s="1" t="s">
        <v>93</v>
      </c>
      <c r="D201" s="1" t="s">
        <v>171</v>
      </c>
      <c r="E201" s="1" t="s">
        <v>187</v>
      </c>
      <c r="F201" s="1" t="s">
        <v>16</v>
      </c>
      <c r="G201" s="1"/>
      <c r="H201" s="1"/>
      <c r="I201" s="1"/>
      <c r="J201" s="1"/>
      <c r="K201" s="1"/>
      <c r="L201" s="41">
        <f>L202</f>
        <v>295.60000000000002</v>
      </c>
      <c r="M201" s="41">
        <f>M202</f>
        <v>290.65922</v>
      </c>
      <c r="N201" s="46">
        <f t="shared" si="15"/>
        <v>98.328558863328823</v>
      </c>
    </row>
    <row r="202" spans="1:14" ht="46.8" outlineLevel="6">
      <c r="A202" s="2" t="s">
        <v>188</v>
      </c>
      <c r="B202" s="1" t="s">
        <v>169</v>
      </c>
      <c r="C202" s="1" t="s">
        <v>93</v>
      </c>
      <c r="D202" s="1" t="s">
        <v>171</v>
      </c>
      <c r="E202" s="1" t="s">
        <v>189</v>
      </c>
      <c r="F202" s="1" t="s">
        <v>16</v>
      </c>
      <c r="G202" s="1"/>
      <c r="H202" s="1"/>
      <c r="I202" s="1"/>
      <c r="J202" s="1"/>
      <c r="K202" s="1"/>
      <c r="L202" s="41">
        <f>L203</f>
        <v>295.60000000000002</v>
      </c>
      <c r="M202" s="41">
        <f>M203</f>
        <v>290.65922</v>
      </c>
      <c r="N202" s="46">
        <f t="shared" si="15"/>
        <v>98.328558863328823</v>
      </c>
    </row>
    <row r="203" spans="1:14" ht="46.8" outlineLevel="7">
      <c r="A203" s="2" t="s">
        <v>41</v>
      </c>
      <c r="B203" s="1" t="s">
        <v>169</v>
      </c>
      <c r="C203" s="1" t="s">
        <v>93</v>
      </c>
      <c r="D203" s="1" t="s">
        <v>171</v>
      </c>
      <c r="E203" s="1" t="s">
        <v>189</v>
      </c>
      <c r="F203" s="1" t="s">
        <v>42</v>
      </c>
      <c r="G203" s="1"/>
      <c r="H203" s="1"/>
      <c r="I203" s="1"/>
      <c r="J203" s="1"/>
      <c r="K203" s="1"/>
      <c r="L203" s="41">
        <f>232+63.6</f>
        <v>295.60000000000002</v>
      </c>
      <c r="M203" s="44">
        <v>290.65922</v>
      </c>
      <c r="N203" s="46">
        <f t="shared" si="15"/>
        <v>98.328558863328823</v>
      </c>
    </row>
    <row r="204" spans="1:14" ht="46.8" outlineLevel="5">
      <c r="A204" s="2" t="s">
        <v>190</v>
      </c>
      <c r="B204" s="1" t="s">
        <v>169</v>
      </c>
      <c r="C204" s="1" t="s">
        <v>93</v>
      </c>
      <c r="D204" s="1" t="s">
        <v>171</v>
      </c>
      <c r="E204" s="1" t="s">
        <v>191</v>
      </c>
      <c r="F204" s="1" t="s">
        <v>16</v>
      </c>
      <c r="G204" s="1"/>
      <c r="H204" s="1"/>
      <c r="I204" s="1"/>
      <c r="J204" s="1"/>
      <c r="K204" s="1"/>
      <c r="L204" s="41">
        <f>L205</f>
        <v>90</v>
      </c>
      <c r="M204" s="41">
        <f>M205</f>
        <v>89.991540000000001</v>
      </c>
      <c r="N204" s="46">
        <f t="shared" si="15"/>
        <v>99.990600000000001</v>
      </c>
    </row>
    <row r="205" spans="1:14" ht="109.2" outlineLevel="6">
      <c r="A205" s="2" t="s">
        <v>193</v>
      </c>
      <c r="B205" s="1" t="s">
        <v>169</v>
      </c>
      <c r="C205" s="1" t="s">
        <v>93</v>
      </c>
      <c r="D205" s="1" t="s">
        <v>171</v>
      </c>
      <c r="E205" s="1" t="s">
        <v>194</v>
      </c>
      <c r="F205" s="1" t="s">
        <v>16</v>
      </c>
      <c r="G205" s="1"/>
      <c r="H205" s="1"/>
      <c r="I205" s="1"/>
      <c r="J205" s="1"/>
      <c r="K205" s="1"/>
      <c r="L205" s="41">
        <f>L206</f>
        <v>90</v>
      </c>
      <c r="M205" s="41">
        <f>M206</f>
        <v>89.991540000000001</v>
      </c>
      <c r="N205" s="46">
        <f t="shared" si="15"/>
        <v>99.990600000000001</v>
      </c>
    </row>
    <row r="206" spans="1:14" ht="46.8" outlineLevel="7">
      <c r="A206" s="2" t="s">
        <v>41</v>
      </c>
      <c r="B206" s="1" t="s">
        <v>169</v>
      </c>
      <c r="C206" s="1" t="s">
        <v>93</v>
      </c>
      <c r="D206" s="1" t="s">
        <v>171</v>
      </c>
      <c r="E206" s="1" t="s">
        <v>194</v>
      </c>
      <c r="F206" s="1" t="s">
        <v>42</v>
      </c>
      <c r="G206" s="1"/>
      <c r="H206" s="1"/>
      <c r="I206" s="1"/>
      <c r="J206" s="1"/>
      <c r="K206" s="1"/>
      <c r="L206" s="41">
        <f>80+10</f>
        <v>90</v>
      </c>
      <c r="M206" s="44">
        <v>89.991540000000001</v>
      </c>
      <c r="N206" s="46">
        <f t="shared" si="15"/>
        <v>99.990600000000001</v>
      </c>
    </row>
    <row r="207" spans="1:14" ht="78" outlineLevel="4">
      <c r="A207" s="2" t="s">
        <v>195</v>
      </c>
      <c r="B207" s="1" t="s">
        <v>169</v>
      </c>
      <c r="C207" s="1" t="s">
        <v>93</v>
      </c>
      <c r="D207" s="1" t="s">
        <v>171</v>
      </c>
      <c r="E207" s="1" t="s">
        <v>196</v>
      </c>
      <c r="F207" s="1" t="s">
        <v>16</v>
      </c>
      <c r="G207" s="1"/>
      <c r="H207" s="1"/>
      <c r="I207" s="1"/>
      <c r="J207" s="1"/>
      <c r="K207" s="1"/>
      <c r="L207" s="41">
        <f>L211+L208</f>
        <v>614.67999999999995</v>
      </c>
      <c r="M207" s="41">
        <f>M211+M208</f>
        <v>554.66116999999997</v>
      </c>
      <c r="N207" s="46">
        <f t="shared" si="15"/>
        <v>90.235760070280463</v>
      </c>
    </row>
    <row r="208" spans="1:14" ht="46.8" outlineLevel="5">
      <c r="A208" s="2" t="s">
        <v>197</v>
      </c>
      <c r="B208" s="1" t="s">
        <v>169</v>
      </c>
      <c r="C208" s="1" t="s">
        <v>93</v>
      </c>
      <c r="D208" s="1" t="s">
        <v>171</v>
      </c>
      <c r="E208" s="1" t="s">
        <v>198</v>
      </c>
      <c r="F208" s="1" t="s">
        <v>16</v>
      </c>
      <c r="G208" s="1"/>
      <c r="H208" s="1"/>
      <c r="I208" s="1"/>
      <c r="J208" s="1"/>
      <c r="K208" s="1"/>
      <c r="L208" s="41">
        <f>L209</f>
        <v>94.4</v>
      </c>
      <c r="M208" s="41">
        <f>M209</f>
        <v>94.4</v>
      </c>
      <c r="N208" s="46">
        <f t="shared" si="15"/>
        <v>100</v>
      </c>
    </row>
    <row r="209" spans="1:14" ht="31.2" outlineLevel="6">
      <c r="A209" s="2" t="s">
        <v>199</v>
      </c>
      <c r="B209" s="1" t="s">
        <v>169</v>
      </c>
      <c r="C209" s="1" t="s">
        <v>93</v>
      </c>
      <c r="D209" s="1" t="s">
        <v>171</v>
      </c>
      <c r="E209" s="1" t="s">
        <v>200</v>
      </c>
      <c r="F209" s="1" t="s">
        <v>16</v>
      </c>
      <c r="G209" s="1"/>
      <c r="H209" s="1"/>
      <c r="I209" s="1"/>
      <c r="J209" s="1"/>
      <c r="K209" s="1"/>
      <c r="L209" s="41">
        <f>L210</f>
        <v>94.4</v>
      </c>
      <c r="M209" s="41">
        <f>M210</f>
        <v>94.4</v>
      </c>
      <c r="N209" s="46">
        <f t="shared" si="15"/>
        <v>100</v>
      </c>
    </row>
    <row r="210" spans="1:14" ht="46.8" outlineLevel="7">
      <c r="A210" s="2" t="s">
        <v>41</v>
      </c>
      <c r="B210" s="1" t="s">
        <v>169</v>
      </c>
      <c r="C210" s="1" t="s">
        <v>93</v>
      </c>
      <c r="D210" s="1" t="s">
        <v>171</v>
      </c>
      <c r="E210" s="1" t="s">
        <v>200</v>
      </c>
      <c r="F210" s="1" t="s">
        <v>42</v>
      </c>
      <c r="G210" s="1"/>
      <c r="H210" s="1"/>
      <c r="I210" s="1"/>
      <c r="J210" s="1"/>
      <c r="K210" s="1"/>
      <c r="L210" s="41">
        <v>94.4</v>
      </c>
      <c r="M210" s="41">
        <v>94.4</v>
      </c>
      <c r="N210" s="46">
        <f t="shared" si="15"/>
        <v>100</v>
      </c>
    </row>
    <row r="211" spans="1:14" ht="46.8" outlineLevel="5">
      <c r="A211" s="2" t="s">
        <v>201</v>
      </c>
      <c r="B211" s="1" t="s">
        <v>169</v>
      </c>
      <c r="C211" s="1" t="s">
        <v>93</v>
      </c>
      <c r="D211" s="1" t="s">
        <v>171</v>
      </c>
      <c r="E211" s="1" t="s">
        <v>202</v>
      </c>
      <c r="F211" s="1" t="s">
        <v>16</v>
      </c>
      <c r="G211" s="1"/>
      <c r="H211" s="1"/>
      <c r="I211" s="1"/>
      <c r="J211" s="1"/>
      <c r="K211" s="1"/>
      <c r="L211" s="41">
        <f>L212</f>
        <v>520.28</v>
      </c>
      <c r="M211" s="41">
        <f>M212</f>
        <v>460.26116999999999</v>
      </c>
      <c r="N211" s="46">
        <f t="shared" si="15"/>
        <v>88.464128930575853</v>
      </c>
    </row>
    <row r="212" spans="1:14" ht="31.2" outlineLevel="6">
      <c r="A212" s="2" t="s">
        <v>203</v>
      </c>
      <c r="B212" s="1" t="s">
        <v>169</v>
      </c>
      <c r="C212" s="1" t="s">
        <v>93</v>
      </c>
      <c r="D212" s="1" t="s">
        <v>171</v>
      </c>
      <c r="E212" s="1" t="s">
        <v>204</v>
      </c>
      <c r="F212" s="1" t="s">
        <v>16</v>
      </c>
      <c r="G212" s="1"/>
      <c r="H212" s="1"/>
      <c r="I212" s="1"/>
      <c r="J212" s="1"/>
      <c r="K212" s="1"/>
      <c r="L212" s="41">
        <f>L213</f>
        <v>520.28</v>
      </c>
      <c r="M212" s="41">
        <f>M213</f>
        <v>460.26116999999999</v>
      </c>
      <c r="N212" s="46">
        <f t="shared" si="15"/>
        <v>88.464128930575853</v>
      </c>
    </row>
    <row r="213" spans="1:14" ht="46.8" outlineLevel="7">
      <c r="A213" s="2" t="s">
        <v>41</v>
      </c>
      <c r="B213" s="1" t="s">
        <v>169</v>
      </c>
      <c r="C213" s="1" t="s">
        <v>93</v>
      </c>
      <c r="D213" s="1" t="s">
        <v>171</v>
      </c>
      <c r="E213" s="1" t="s">
        <v>204</v>
      </c>
      <c r="F213" s="1" t="s">
        <v>42</v>
      </c>
      <c r="G213" s="1"/>
      <c r="H213" s="1"/>
      <c r="I213" s="1"/>
      <c r="J213" s="1"/>
      <c r="K213" s="1"/>
      <c r="L213" s="41">
        <f>506.68+13.6</f>
        <v>520.28</v>
      </c>
      <c r="M213" s="44">
        <v>460.26116999999999</v>
      </c>
      <c r="N213" s="46">
        <f t="shared" si="15"/>
        <v>88.464128930575853</v>
      </c>
    </row>
    <row r="214" spans="1:14" ht="15.6" outlineLevel="1">
      <c r="A214" s="3" t="s">
        <v>100</v>
      </c>
      <c r="B214" s="4" t="s">
        <v>169</v>
      </c>
      <c r="C214" s="4" t="s">
        <v>32</v>
      </c>
      <c r="D214" s="4"/>
      <c r="E214" s="4"/>
      <c r="F214" s="4"/>
      <c r="G214" s="4"/>
      <c r="H214" s="4"/>
      <c r="I214" s="4"/>
      <c r="J214" s="4"/>
      <c r="K214" s="4"/>
      <c r="L214" s="39">
        <f>L215+L222+L258</f>
        <v>197423.46699999998</v>
      </c>
      <c r="M214" s="39">
        <f>M215+M222+M258</f>
        <v>195920.73778999998</v>
      </c>
      <c r="N214" s="49">
        <f t="shared" si="15"/>
        <v>99.238829490315865</v>
      </c>
    </row>
    <row r="215" spans="1:14" ht="15.6" outlineLevel="2">
      <c r="A215" s="5" t="s">
        <v>205</v>
      </c>
      <c r="B215" s="6" t="s">
        <v>169</v>
      </c>
      <c r="C215" s="6" t="s">
        <v>32</v>
      </c>
      <c r="D215" s="6" t="s">
        <v>206</v>
      </c>
      <c r="E215" s="6"/>
      <c r="F215" s="6"/>
      <c r="G215" s="6"/>
      <c r="H215" s="6"/>
      <c r="I215" s="6"/>
      <c r="J215" s="6"/>
      <c r="K215" s="6"/>
      <c r="L215" s="40">
        <f>L216</f>
        <v>5.5</v>
      </c>
      <c r="M215" s="40">
        <f>M216</f>
        <v>4.6375000000000002</v>
      </c>
      <c r="N215" s="47">
        <f t="shared" si="15"/>
        <v>84.318181818181827</v>
      </c>
    </row>
    <row r="216" spans="1:14" ht="78" outlineLevel="3">
      <c r="A216" s="2" t="s">
        <v>172</v>
      </c>
      <c r="B216" s="1" t="s">
        <v>169</v>
      </c>
      <c r="C216" s="1" t="s">
        <v>32</v>
      </c>
      <c r="D216" s="1" t="s">
        <v>206</v>
      </c>
      <c r="E216" s="1" t="s">
        <v>173</v>
      </c>
      <c r="F216" s="1" t="s">
        <v>16</v>
      </c>
      <c r="G216" s="1"/>
      <c r="H216" s="1"/>
      <c r="I216" s="1"/>
      <c r="J216" s="1"/>
      <c r="K216" s="1"/>
      <c r="L216" s="41">
        <f>L217</f>
        <v>5.5</v>
      </c>
      <c r="M216" s="41">
        <f>M217</f>
        <v>4.6375000000000002</v>
      </c>
      <c r="N216" s="46">
        <f t="shared" si="15"/>
        <v>84.318181818181827</v>
      </c>
    </row>
    <row r="217" spans="1:14" ht="62.4" outlineLevel="5">
      <c r="A217" s="2" t="s">
        <v>207</v>
      </c>
      <c r="B217" s="1" t="s">
        <v>169</v>
      </c>
      <c r="C217" s="1" t="s">
        <v>32</v>
      </c>
      <c r="D217" s="1" t="s">
        <v>206</v>
      </c>
      <c r="E217" s="1" t="s">
        <v>208</v>
      </c>
      <c r="F217" s="1" t="s">
        <v>16</v>
      </c>
      <c r="G217" s="1"/>
      <c r="H217" s="1"/>
      <c r="I217" s="1"/>
      <c r="J217" s="1"/>
      <c r="K217" s="1"/>
      <c r="L217" s="41">
        <f>L218+L220</f>
        <v>5.5</v>
      </c>
      <c r="M217" s="41">
        <f>M218+M220</f>
        <v>4.6375000000000002</v>
      </c>
      <c r="N217" s="46">
        <f t="shared" si="15"/>
        <v>84.318181818181827</v>
      </c>
    </row>
    <row r="218" spans="1:14" ht="62.4" outlineLevel="6">
      <c r="A218" s="2" t="s">
        <v>209</v>
      </c>
      <c r="B218" s="1" t="s">
        <v>169</v>
      </c>
      <c r="C218" s="1" t="s">
        <v>32</v>
      </c>
      <c r="D218" s="1" t="s">
        <v>206</v>
      </c>
      <c r="E218" s="1" t="s">
        <v>210</v>
      </c>
      <c r="F218" s="1" t="s">
        <v>16</v>
      </c>
      <c r="G218" s="1"/>
      <c r="H218" s="1"/>
      <c r="I218" s="1"/>
      <c r="J218" s="1"/>
      <c r="K218" s="1"/>
      <c r="L218" s="41">
        <f>L219</f>
        <v>5.5</v>
      </c>
      <c r="M218" s="41">
        <f>M219</f>
        <v>4.6375000000000002</v>
      </c>
      <c r="N218" s="46">
        <f t="shared" si="15"/>
        <v>84.318181818181827</v>
      </c>
    </row>
    <row r="219" spans="1:14" ht="15.6" outlineLevel="7">
      <c r="A219" s="2" t="s">
        <v>59</v>
      </c>
      <c r="B219" s="1" t="s">
        <v>169</v>
      </c>
      <c r="C219" s="1" t="s">
        <v>32</v>
      </c>
      <c r="D219" s="1" t="s">
        <v>206</v>
      </c>
      <c r="E219" s="1" t="s">
        <v>210</v>
      </c>
      <c r="F219" s="1" t="s">
        <v>60</v>
      </c>
      <c r="G219" s="1"/>
      <c r="H219" s="1"/>
      <c r="I219" s="1"/>
      <c r="J219" s="1"/>
      <c r="K219" s="1"/>
      <c r="L219" s="41">
        <f>10-4.5</f>
        <v>5.5</v>
      </c>
      <c r="M219" s="44">
        <v>4.6375000000000002</v>
      </c>
      <c r="N219" s="46">
        <f t="shared" si="15"/>
        <v>84.318181818181827</v>
      </c>
    </row>
    <row r="220" spans="1:14" ht="62.4" hidden="1" outlineLevel="6">
      <c r="A220" s="2" t="s">
        <v>211</v>
      </c>
      <c r="B220" s="1" t="s">
        <v>169</v>
      </c>
      <c r="C220" s="1" t="s">
        <v>32</v>
      </c>
      <c r="D220" s="1" t="s">
        <v>206</v>
      </c>
      <c r="E220" s="1" t="s">
        <v>212</v>
      </c>
      <c r="F220" s="1" t="s">
        <v>16</v>
      </c>
      <c r="G220" s="1"/>
      <c r="H220" s="1"/>
      <c r="I220" s="1"/>
      <c r="J220" s="1"/>
      <c r="K220" s="1"/>
      <c r="L220" s="41">
        <f>L221</f>
        <v>0</v>
      </c>
      <c r="M220" s="52"/>
      <c r="N220" s="46" t="e">
        <f t="shared" si="15"/>
        <v>#DIV/0!</v>
      </c>
    </row>
    <row r="221" spans="1:14" ht="15.6" hidden="1" outlineLevel="7">
      <c r="A221" s="2" t="s">
        <v>59</v>
      </c>
      <c r="B221" s="1" t="s">
        <v>169</v>
      </c>
      <c r="C221" s="1" t="s">
        <v>32</v>
      </c>
      <c r="D221" s="1" t="s">
        <v>206</v>
      </c>
      <c r="E221" s="1" t="s">
        <v>212</v>
      </c>
      <c r="F221" s="1" t="s">
        <v>60</v>
      </c>
      <c r="G221" s="1"/>
      <c r="H221" s="1"/>
      <c r="I221" s="1"/>
      <c r="J221" s="1"/>
      <c r="K221" s="1"/>
      <c r="L221" s="41">
        <f>24-24</f>
        <v>0</v>
      </c>
      <c r="M221" s="52"/>
      <c r="N221" s="46" t="e">
        <f t="shared" si="15"/>
        <v>#DIV/0!</v>
      </c>
    </row>
    <row r="222" spans="1:14" ht="15.6" outlineLevel="2" collapsed="1">
      <c r="A222" s="5" t="s">
        <v>371</v>
      </c>
      <c r="B222" s="6" t="s">
        <v>169</v>
      </c>
      <c r="C222" s="6" t="s">
        <v>32</v>
      </c>
      <c r="D222" s="6" t="s">
        <v>171</v>
      </c>
      <c r="E222" s="6"/>
      <c r="F222" s="6"/>
      <c r="G222" s="6"/>
      <c r="H222" s="6"/>
      <c r="I222" s="6"/>
      <c r="J222" s="6"/>
      <c r="K222" s="6"/>
      <c r="L222" s="40">
        <f>L223+L236+L240+L254</f>
        <v>196842.15699999998</v>
      </c>
      <c r="M222" s="40">
        <f>M223+M236+M240+M254</f>
        <v>195347.49028999999</v>
      </c>
      <c r="N222" s="47">
        <f t="shared" si="15"/>
        <v>99.240677539415515</v>
      </c>
    </row>
    <row r="223" spans="1:14" ht="62.4" outlineLevel="3">
      <c r="A223" s="2" t="s">
        <v>213</v>
      </c>
      <c r="B223" s="1" t="s">
        <v>169</v>
      </c>
      <c r="C223" s="1" t="s">
        <v>32</v>
      </c>
      <c r="D223" s="1" t="s">
        <v>171</v>
      </c>
      <c r="E223" s="1" t="s">
        <v>214</v>
      </c>
      <c r="F223" s="1" t="s">
        <v>16</v>
      </c>
      <c r="G223" s="1"/>
      <c r="H223" s="1"/>
      <c r="I223" s="1"/>
      <c r="J223" s="1"/>
      <c r="K223" s="1"/>
      <c r="L223" s="41">
        <f>L224+L231</f>
        <v>188872.32299999997</v>
      </c>
      <c r="M223" s="41">
        <f>M224+M231</f>
        <v>187402.55233999999</v>
      </c>
      <c r="N223" s="46">
        <f t="shared" si="15"/>
        <v>99.221817873230705</v>
      </c>
    </row>
    <row r="224" spans="1:14" ht="46.8" outlineLevel="5">
      <c r="A224" s="2" t="s">
        <v>215</v>
      </c>
      <c r="B224" s="1" t="s">
        <v>169</v>
      </c>
      <c r="C224" s="1" t="s">
        <v>32</v>
      </c>
      <c r="D224" s="1" t="s">
        <v>171</v>
      </c>
      <c r="E224" s="1" t="s">
        <v>216</v>
      </c>
      <c r="F224" s="1" t="s">
        <v>16</v>
      </c>
      <c r="G224" s="1"/>
      <c r="H224" s="1"/>
      <c r="I224" s="1"/>
      <c r="J224" s="1"/>
      <c r="K224" s="1"/>
      <c r="L224" s="41">
        <f>L225+L227+L229</f>
        <v>186203.44299999997</v>
      </c>
      <c r="M224" s="41">
        <f>M225+M227+M229</f>
        <v>184733.69834</v>
      </c>
      <c r="N224" s="46">
        <f t="shared" si="15"/>
        <v>99.210678043155212</v>
      </c>
    </row>
    <row r="225" spans="1:14" ht="31.2" outlineLevel="6">
      <c r="A225" s="2" t="s">
        <v>217</v>
      </c>
      <c r="B225" s="1" t="s">
        <v>169</v>
      </c>
      <c r="C225" s="1" t="s">
        <v>32</v>
      </c>
      <c r="D225" s="1" t="s">
        <v>171</v>
      </c>
      <c r="E225" s="1" t="s">
        <v>218</v>
      </c>
      <c r="F225" s="1" t="s">
        <v>16</v>
      </c>
      <c r="G225" s="1"/>
      <c r="H225" s="1"/>
      <c r="I225" s="1"/>
      <c r="J225" s="1"/>
      <c r="K225" s="1"/>
      <c r="L225" s="41">
        <f>L226</f>
        <v>73113.293999999994</v>
      </c>
      <c r="M225" s="41">
        <f>M226</f>
        <v>71643.571330000006</v>
      </c>
      <c r="N225" s="46">
        <f t="shared" si="15"/>
        <v>97.989801047672685</v>
      </c>
    </row>
    <row r="226" spans="1:14" ht="46.8" outlineLevel="7">
      <c r="A226" s="2" t="s">
        <v>41</v>
      </c>
      <c r="B226" s="1" t="s">
        <v>169</v>
      </c>
      <c r="C226" s="1" t="s">
        <v>32</v>
      </c>
      <c r="D226" s="1" t="s">
        <v>171</v>
      </c>
      <c r="E226" s="1" t="s">
        <v>218</v>
      </c>
      <c r="F226" s="1" t="s">
        <v>42</v>
      </c>
      <c r="G226" s="1"/>
      <c r="H226" s="1"/>
      <c r="I226" s="1"/>
      <c r="J226" s="1"/>
      <c r="K226" s="1"/>
      <c r="L226" s="41">
        <f>10000-7337.5+77000-230.206-6319</f>
        <v>73113.293999999994</v>
      </c>
      <c r="M226" s="44">
        <v>71643.571330000006</v>
      </c>
      <c r="N226" s="46">
        <f t="shared" si="15"/>
        <v>97.989801047672685</v>
      </c>
    </row>
    <row r="227" spans="1:14" ht="15.6" outlineLevel="6">
      <c r="A227" s="2" t="s">
        <v>219</v>
      </c>
      <c r="B227" s="1" t="s">
        <v>169</v>
      </c>
      <c r="C227" s="1" t="s">
        <v>32</v>
      </c>
      <c r="D227" s="1" t="s">
        <v>171</v>
      </c>
      <c r="E227" s="1" t="s">
        <v>220</v>
      </c>
      <c r="F227" s="1" t="s">
        <v>16</v>
      </c>
      <c r="G227" s="1"/>
      <c r="H227" s="1"/>
      <c r="I227" s="1"/>
      <c r="J227" s="1"/>
      <c r="K227" s="1"/>
      <c r="L227" s="41">
        <f>L228</f>
        <v>86480.14899999999</v>
      </c>
      <c r="M227" s="41">
        <f>M228</f>
        <v>86480.127009999997</v>
      </c>
      <c r="N227" s="46">
        <f t="shared" si="15"/>
        <v>99.999974572199221</v>
      </c>
    </row>
    <row r="228" spans="1:14" ht="46.8" outlineLevel="7">
      <c r="A228" s="2" t="s">
        <v>41</v>
      </c>
      <c r="B228" s="1" t="s">
        <v>169</v>
      </c>
      <c r="C228" s="1" t="s">
        <v>32</v>
      </c>
      <c r="D228" s="1" t="s">
        <v>171</v>
      </c>
      <c r="E228" s="1" t="s">
        <v>220</v>
      </c>
      <c r="F228" s="1" t="s">
        <v>42</v>
      </c>
      <c r="G228" s="1"/>
      <c r="H228" s="1"/>
      <c r="I228" s="1"/>
      <c r="J228" s="1"/>
      <c r="K228" s="1"/>
      <c r="L228" s="41">
        <f>59070+8913.36+277.84+5000+7000-100.051+6319</f>
        <v>86480.14899999999</v>
      </c>
      <c r="M228" s="41">
        <v>86480.127009999997</v>
      </c>
      <c r="N228" s="46">
        <f t="shared" si="15"/>
        <v>99.999974572199221</v>
      </c>
    </row>
    <row r="229" spans="1:14" ht="46.8" outlineLevel="7">
      <c r="A229" s="2" t="s">
        <v>665</v>
      </c>
      <c r="B229" s="1" t="s">
        <v>169</v>
      </c>
      <c r="C229" s="1" t="s">
        <v>32</v>
      </c>
      <c r="D229" s="1" t="s">
        <v>171</v>
      </c>
      <c r="E229" s="1" t="s">
        <v>664</v>
      </c>
      <c r="F229" s="1" t="s">
        <v>16</v>
      </c>
      <c r="G229" s="1"/>
      <c r="H229" s="1"/>
      <c r="I229" s="1"/>
      <c r="J229" s="1"/>
      <c r="K229" s="1"/>
      <c r="L229" s="41">
        <f>L230</f>
        <v>26610</v>
      </c>
      <c r="M229" s="41">
        <f>M230</f>
        <v>26610</v>
      </c>
      <c r="N229" s="46">
        <f t="shared" si="15"/>
        <v>100</v>
      </c>
    </row>
    <row r="230" spans="1:14" ht="46.8" outlineLevel="7">
      <c r="A230" s="2" t="s">
        <v>41</v>
      </c>
      <c r="B230" s="1" t="s">
        <v>169</v>
      </c>
      <c r="C230" s="1" t="s">
        <v>32</v>
      </c>
      <c r="D230" s="1" t="s">
        <v>171</v>
      </c>
      <c r="E230" s="1" t="s">
        <v>664</v>
      </c>
      <c r="F230" s="1" t="s">
        <v>42</v>
      </c>
      <c r="G230" s="1"/>
      <c r="H230" s="1"/>
      <c r="I230" s="1"/>
      <c r="J230" s="1"/>
      <c r="K230" s="1"/>
      <c r="L230" s="41">
        <f>16610+10000</f>
        <v>26610</v>
      </c>
      <c r="M230" s="41">
        <f>16610+10000</f>
        <v>26610</v>
      </c>
      <c r="N230" s="46">
        <f t="shared" si="15"/>
        <v>100</v>
      </c>
    </row>
    <row r="231" spans="1:14" ht="46.8" outlineLevel="5">
      <c r="A231" s="2" t="s">
        <v>221</v>
      </c>
      <c r="B231" s="1" t="s">
        <v>169</v>
      </c>
      <c r="C231" s="1" t="s">
        <v>32</v>
      </c>
      <c r="D231" s="1" t="s">
        <v>171</v>
      </c>
      <c r="E231" s="1" t="s">
        <v>222</v>
      </c>
      <c r="F231" s="1" t="s">
        <v>16</v>
      </c>
      <c r="G231" s="1"/>
      <c r="H231" s="1"/>
      <c r="I231" s="1"/>
      <c r="J231" s="1"/>
      <c r="K231" s="1"/>
      <c r="L231" s="41">
        <f>L232+L234</f>
        <v>2668.88</v>
      </c>
      <c r="M231" s="41">
        <f>M232+M234</f>
        <v>2668.8540000000003</v>
      </c>
      <c r="N231" s="46">
        <f t="shared" si="15"/>
        <v>99.999025808578892</v>
      </c>
    </row>
    <row r="232" spans="1:14" ht="31.2" outlineLevel="6">
      <c r="A232" s="2" t="s">
        <v>223</v>
      </c>
      <c r="B232" s="1" t="s">
        <v>169</v>
      </c>
      <c r="C232" s="1" t="s">
        <v>32</v>
      </c>
      <c r="D232" s="1" t="s">
        <v>171</v>
      </c>
      <c r="E232" s="1" t="s">
        <v>224</v>
      </c>
      <c r="F232" s="1" t="s">
        <v>16</v>
      </c>
      <c r="G232" s="1"/>
      <c r="H232" s="1"/>
      <c r="I232" s="1"/>
      <c r="J232" s="1"/>
      <c r="K232" s="1"/>
      <c r="L232" s="41">
        <f>L233</f>
        <v>2610</v>
      </c>
      <c r="M232" s="41">
        <f>M233</f>
        <v>2609.9740000000002</v>
      </c>
      <c r="N232" s="46">
        <f t="shared" si="15"/>
        <v>99.999003831417639</v>
      </c>
    </row>
    <row r="233" spans="1:14" ht="46.8" outlineLevel="7">
      <c r="A233" s="2" t="s">
        <v>41</v>
      </c>
      <c r="B233" s="1" t="s">
        <v>169</v>
      </c>
      <c r="C233" s="1" t="s">
        <v>32</v>
      </c>
      <c r="D233" s="1" t="s">
        <v>171</v>
      </c>
      <c r="E233" s="1" t="s">
        <v>224</v>
      </c>
      <c r="F233" s="1" t="s">
        <v>42</v>
      </c>
      <c r="G233" s="1"/>
      <c r="H233" s="1"/>
      <c r="I233" s="1"/>
      <c r="J233" s="1"/>
      <c r="K233" s="1"/>
      <c r="L233" s="41">
        <v>2610</v>
      </c>
      <c r="M233" s="44">
        <v>2609.9740000000002</v>
      </c>
      <c r="N233" s="46">
        <f t="shared" si="15"/>
        <v>99.999003831417639</v>
      </c>
    </row>
    <row r="234" spans="1:14" ht="31.2" outlineLevel="6">
      <c r="A234" s="2" t="s">
        <v>225</v>
      </c>
      <c r="B234" s="1" t="s">
        <v>169</v>
      </c>
      <c r="C234" s="1" t="s">
        <v>32</v>
      </c>
      <c r="D234" s="1" t="s">
        <v>171</v>
      </c>
      <c r="E234" s="1" t="s">
        <v>226</v>
      </c>
      <c r="F234" s="1" t="s">
        <v>16</v>
      </c>
      <c r="G234" s="1"/>
      <c r="H234" s="1"/>
      <c r="I234" s="1"/>
      <c r="J234" s="1"/>
      <c r="K234" s="1"/>
      <c r="L234" s="41">
        <f>L235</f>
        <v>58.879999999999995</v>
      </c>
      <c r="M234" s="41">
        <f>M235</f>
        <v>58.879999999999995</v>
      </c>
      <c r="N234" s="46">
        <f t="shared" si="15"/>
        <v>100</v>
      </c>
    </row>
    <row r="235" spans="1:14" ht="46.8" outlineLevel="7">
      <c r="A235" s="2" t="s">
        <v>41</v>
      </c>
      <c r="B235" s="1" t="s">
        <v>169</v>
      </c>
      <c r="C235" s="1" t="s">
        <v>32</v>
      </c>
      <c r="D235" s="1" t="s">
        <v>171</v>
      </c>
      <c r="E235" s="1" t="s">
        <v>226</v>
      </c>
      <c r="F235" s="1" t="s">
        <v>42</v>
      </c>
      <c r="G235" s="1"/>
      <c r="H235" s="1"/>
      <c r="I235" s="1"/>
      <c r="J235" s="1"/>
      <c r="K235" s="1"/>
      <c r="L235" s="41">
        <f>330-271.12</f>
        <v>58.879999999999995</v>
      </c>
      <c r="M235" s="41">
        <f>330-271.12</f>
        <v>58.879999999999995</v>
      </c>
      <c r="N235" s="46">
        <f t="shared" si="15"/>
        <v>100</v>
      </c>
    </row>
    <row r="236" spans="1:14" ht="124.8" hidden="1" outlineLevel="3">
      <c r="A236" s="2" t="s">
        <v>227</v>
      </c>
      <c r="B236" s="1" t="s">
        <v>169</v>
      </c>
      <c r="C236" s="1" t="s">
        <v>32</v>
      </c>
      <c r="D236" s="1" t="s">
        <v>171</v>
      </c>
      <c r="E236" s="1" t="s">
        <v>228</v>
      </c>
      <c r="F236" s="1" t="s">
        <v>16</v>
      </c>
      <c r="G236" s="1"/>
      <c r="H236" s="1"/>
      <c r="I236" s="1"/>
      <c r="J236" s="1"/>
      <c r="K236" s="1"/>
      <c r="L236" s="41">
        <f>L237</f>
        <v>0</v>
      </c>
      <c r="M236" s="44"/>
      <c r="N236" s="46" t="e">
        <f t="shared" si="15"/>
        <v>#DIV/0!</v>
      </c>
    </row>
    <row r="237" spans="1:14" ht="46.8" hidden="1" outlineLevel="5">
      <c r="A237" s="2" t="s">
        <v>229</v>
      </c>
      <c r="B237" s="1" t="s">
        <v>169</v>
      </c>
      <c r="C237" s="1" t="s">
        <v>32</v>
      </c>
      <c r="D237" s="1" t="s">
        <v>171</v>
      </c>
      <c r="E237" s="1" t="s">
        <v>230</v>
      </c>
      <c r="F237" s="1" t="s">
        <v>16</v>
      </c>
      <c r="G237" s="1"/>
      <c r="H237" s="1"/>
      <c r="I237" s="1"/>
      <c r="J237" s="1"/>
      <c r="K237" s="1"/>
      <c r="L237" s="41">
        <f>L238</f>
        <v>0</v>
      </c>
      <c r="M237" s="44"/>
      <c r="N237" s="46" t="e">
        <f t="shared" si="15"/>
        <v>#DIV/0!</v>
      </c>
    </row>
    <row r="238" spans="1:14" ht="93.6" hidden="1" outlineLevel="6">
      <c r="A238" s="2" t="s">
        <v>231</v>
      </c>
      <c r="B238" s="1" t="s">
        <v>169</v>
      </c>
      <c r="C238" s="1" t="s">
        <v>32</v>
      </c>
      <c r="D238" s="1" t="s">
        <v>171</v>
      </c>
      <c r="E238" s="1" t="s">
        <v>232</v>
      </c>
      <c r="F238" s="1" t="s">
        <v>16</v>
      </c>
      <c r="G238" s="1"/>
      <c r="H238" s="1"/>
      <c r="I238" s="1"/>
      <c r="J238" s="1"/>
      <c r="K238" s="1"/>
      <c r="L238" s="41">
        <f>L239</f>
        <v>0</v>
      </c>
      <c r="M238" s="44"/>
      <c r="N238" s="46" t="e">
        <f t="shared" si="15"/>
        <v>#DIV/0!</v>
      </c>
    </row>
    <row r="239" spans="1:14" ht="46.8" hidden="1" outlineLevel="7">
      <c r="A239" s="2" t="s">
        <v>233</v>
      </c>
      <c r="B239" s="1" t="s">
        <v>169</v>
      </c>
      <c r="C239" s="1" t="s">
        <v>32</v>
      </c>
      <c r="D239" s="1" t="s">
        <v>171</v>
      </c>
      <c r="E239" s="1" t="s">
        <v>232</v>
      </c>
      <c r="F239" s="1" t="s">
        <v>234</v>
      </c>
      <c r="G239" s="1"/>
      <c r="H239" s="1"/>
      <c r="I239" s="1"/>
      <c r="J239" s="1"/>
      <c r="K239" s="1"/>
      <c r="L239" s="41">
        <f>350-350</f>
        <v>0</v>
      </c>
      <c r="M239" s="44"/>
      <c r="N239" s="46" t="e">
        <f t="shared" si="15"/>
        <v>#DIV/0!</v>
      </c>
    </row>
    <row r="240" spans="1:14" ht="78" outlineLevel="3" collapsed="1">
      <c r="A240" s="2" t="s">
        <v>172</v>
      </c>
      <c r="B240" s="1" t="s">
        <v>169</v>
      </c>
      <c r="C240" s="1" t="s">
        <v>32</v>
      </c>
      <c r="D240" s="1" t="s">
        <v>171</v>
      </c>
      <c r="E240" s="1" t="s">
        <v>173</v>
      </c>
      <c r="F240" s="1" t="s">
        <v>16</v>
      </c>
      <c r="G240" s="1"/>
      <c r="H240" s="1"/>
      <c r="I240" s="1"/>
      <c r="J240" s="1"/>
      <c r="K240" s="1"/>
      <c r="L240" s="41">
        <f>L241</f>
        <v>7066.2060000000001</v>
      </c>
      <c r="M240" s="41">
        <f>M241</f>
        <v>7041.3099500000008</v>
      </c>
      <c r="N240" s="46">
        <f t="shared" si="15"/>
        <v>99.647674438022335</v>
      </c>
    </row>
    <row r="241" spans="1:14" ht="46.8" outlineLevel="5">
      <c r="A241" s="2" t="s">
        <v>174</v>
      </c>
      <c r="B241" s="1" t="s">
        <v>169</v>
      </c>
      <c r="C241" s="1" t="s">
        <v>32</v>
      </c>
      <c r="D241" s="1" t="s">
        <v>171</v>
      </c>
      <c r="E241" s="1" t="s">
        <v>175</v>
      </c>
      <c r="F241" s="1" t="s">
        <v>16</v>
      </c>
      <c r="G241" s="1"/>
      <c r="H241" s="1"/>
      <c r="I241" s="1"/>
      <c r="J241" s="1"/>
      <c r="K241" s="1"/>
      <c r="L241" s="41">
        <f>L244+L246+L248+L250+L242+L252</f>
        <v>7066.2060000000001</v>
      </c>
      <c r="M241" s="41">
        <f>M244+M246+M248+M250+M242+M252</f>
        <v>7041.3099500000008</v>
      </c>
      <c r="N241" s="46">
        <f t="shared" si="15"/>
        <v>99.647674438022335</v>
      </c>
    </row>
    <row r="242" spans="1:14" ht="15.6" outlineLevel="5">
      <c r="A242" s="2" t="s">
        <v>425</v>
      </c>
      <c r="B242" s="1" t="s">
        <v>169</v>
      </c>
      <c r="C242" s="1" t="s">
        <v>32</v>
      </c>
      <c r="D242" s="1" t="s">
        <v>171</v>
      </c>
      <c r="E242" s="1" t="s">
        <v>670</v>
      </c>
      <c r="F242" s="1" t="s">
        <v>16</v>
      </c>
      <c r="G242" s="1"/>
      <c r="H242" s="1"/>
      <c r="I242" s="1"/>
      <c r="J242" s="1"/>
      <c r="K242" s="1"/>
      <c r="L242" s="41">
        <f>L243</f>
        <v>300</v>
      </c>
      <c r="M242" s="41">
        <f>M243</f>
        <v>294.52922000000001</v>
      </c>
      <c r="N242" s="46">
        <f t="shared" si="15"/>
        <v>98.176406666666665</v>
      </c>
    </row>
    <row r="243" spans="1:14" ht="46.8" outlineLevel="5">
      <c r="A243" s="2" t="s">
        <v>41</v>
      </c>
      <c r="B243" s="1" t="s">
        <v>169</v>
      </c>
      <c r="C243" s="1" t="s">
        <v>32</v>
      </c>
      <c r="D243" s="1" t="s">
        <v>171</v>
      </c>
      <c r="E243" s="1" t="s">
        <v>670</v>
      </c>
      <c r="F243" s="1" t="s">
        <v>42</v>
      </c>
      <c r="G243" s="1"/>
      <c r="H243" s="1"/>
      <c r="I243" s="1"/>
      <c r="J243" s="1"/>
      <c r="K243" s="1"/>
      <c r="L243" s="41">
        <v>300</v>
      </c>
      <c r="M243" s="44">
        <v>294.52922000000001</v>
      </c>
      <c r="N243" s="46">
        <f t="shared" ref="N243:N306" si="16">M243/L243*100</f>
        <v>98.176406666666665</v>
      </c>
    </row>
    <row r="244" spans="1:14" ht="15.6" outlineLevel="6">
      <c r="A244" s="2" t="s">
        <v>235</v>
      </c>
      <c r="B244" s="1" t="s">
        <v>169</v>
      </c>
      <c r="C244" s="1" t="s">
        <v>32</v>
      </c>
      <c r="D244" s="1" t="s">
        <v>171</v>
      </c>
      <c r="E244" s="1" t="s">
        <v>236</v>
      </c>
      <c r="F244" s="1" t="s">
        <v>16</v>
      </c>
      <c r="G244" s="1"/>
      <c r="H244" s="1"/>
      <c r="I244" s="1"/>
      <c r="J244" s="1"/>
      <c r="K244" s="1"/>
      <c r="L244" s="41">
        <f>L245</f>
        <v>3868.069</v>
      </c>
      <c r="M244" s="41">
        <f>M245</f>
        <v>3868.0688700000001</v>
      </c>
      <c r="N244" s="46">
        <f t="shared" si="16"/>
        <v>99.999996639149927</v>
      </c>
    </row>
    <row r="245" spans="1:14" ht="46.8" outlineLevel="7">
      <c r="A245" s="2" t="s">
        <v>41</v>
      </c>
      <c r="B245" s="1" t="s">
        <v>169</v>
      </c>
      <c r="C245" s="1" t="s">
        <v>32</v>
      </c>
      <c r="D245" s="1" t="s">
        <v>171</v>
      </c>
      <c r="E245" s="1" t="s">
        <v>236</v>
      </c>
      <c r="F245" s="1" t="s">
        <v>42</v>
      </c>
      <c r="G245" s="1"/>
      <c r="H245" s="1"/>
      <c r="I245" s="1"/>
      <c r="J245" s="1"/>
      <c r="K245" s="1"/>
      <c r="L245" s="41">
        <f>4100-231.931</f>
        <v>3868.069</v>
      </c>
      <c r="M245" s="41">
        <v>3868.0688700000001</v>
      </c>
      <c r="N245" s="46">
        <f t="shared" si="16"/>
        <v>99.999996639149927</v>
      </c>
    </row>
    <row r="246" spans="1:14" ht="31.2" hidden="1" outlineLevel="6">
      <c r="A246" s="2" t="s">
        <v>237</v>
      </c>
      <c r="B246" s="1" t="s">
        <v>169</v>
      </c>
      <c r="C246" s="1" t="s">
        <v>32</v>
      </c>
      <c r="D246" s="1" t="s">
        <v>171</v>
      </c>
      <c r="E246" s="1" t="s">
        <v>238</v>
      </c>
      <c r="F246" s="1" t="s">
        <v>16</v>
      </c>
      <c r="G246" s="1"/>
      <c r="H246" s="1"/>
      <c r="I246" s="1"/>
      <c r="J246" s="1"/>
      <c r="K246" s="1"/>
      <c r="L246" s="41">
        <f>L247</f>
        <v>0</v>
      </c>
      <c r="M246" s="44"/>
      <c r="N246" s="46" t="e">
        <f t="shared" si="16"/>
        <v>#DIV/0!</v>
      </c>
    </row>
    <row r="247" spans="1:14" ht="46.8" hidden="1" outlineLevel="7">
      <c r="A247" s="2" t="s">
        <v>41</v>
      </c>
      <c r="B247" s="1" t="s">
        <v>169</v>
      </c>
      <c r="C247" s="1" t="s">
        <v>32</v>
      </c>
      <c r="D247" s="1" t="s">
        <v>171</v>
      </c>
      <c r="E247" s="1" t="s">
        <v>238</v>
      </c>
      <c r="F247" s="1" t="s">
        <v>42</v>
      </c>
      <c r="G247" s="1"/>
      <c r="H247" s="1"/>
      <c r="I247" s="1"/>
      <c r="J247" s="1"/>
      <c r="K247" s="1"/>
      <c r="L247" s="41">
        <f>300+630-930</f>
        <v>0</v>
      </c>
      <c r="M247" s="44"/>
      <c r="N247" s="46" t="e">
        <f t="shared" si="16"/>
        <v>#DIV/0!</v>
      </c>
    </row>
    <row r="248" spans="1:14" ht="31.2" outlineLevel="6" collapsed="1">
      <c r="A248" s="2" t="s">
        <v>239</v>
      </c>
      <c r="B248" s="1" t="s">
        <v>169</v>
      </c>
      <c r="C248" s="1" t="s">
        <v>32</v>
      </c>
      <c r="D248" s="1" t="s">
        <v>171</v>
      </c>
      <c r="E248" s="1" t="s">
        <v>240</v>
      </c>
      <c r="F248" s="1" t="s">
        <v>16</v>
      </c>
      <c r="G248" s="1"/>
      <c r="H248" s="1"/>
      <c r="I248" s="1"/>
      <c r="J248" s="1"/>
      <c r="K248" s="1"/>
      <c r="L248" s="41">
        <f>L249</f>
        <v>253.59200000000004</v>
      </c>
      <c r="M248" s="41">
        <f>M249</f>
        <v>253.5917</v>
      </c>
      <c r="N248" s="46">
        <f t="shared" si="16"/>
        <v>99.999881699738154</v>
      </c>
    </row>
    <row r="249" spans="1:14" ht="46.8" outlineLevel="7">
      <c r="A249" s="2" t="s">
        <v>41</v>
      </c>
      <c r="B249" s="1" t="s">
        <v>169</v>
      </c>
      <c r="C249" s="1" t="s">
        <v>32</v>
      </c>
      <c r="D249" s="1" t="s">
        <v>171</v>
      </c>
      <c r="E249" s="1" t="s">
        <v>240</v>
      </c>
      <c r="F249" s="1" t="s">
        <v>42</v>
      </c>
      <c r="G249" s="1"/>
      <c r="H249" s="1"/>
      <c r="I249" s="1"/>
      <c r="J249" s="1"/>
      <c r="K249" s="1"/>
      <c r="L249" s="41">
        <f>900-193.9-452.508</f>
        <v>253.59200000000004</v>
      </c>
      <c r="M249" s="41">
        <v>253.5917</v>
      </c>
      <c r="N249" s="46">
        <f t="shared" si="16"/>
        <v>99.999881699738154</v>
      </c>
    </row>
    <row r="250" spans="1:14" ht="31.2" outlineLevel="6">
      <c r="A250" s="2" t="s">
        <v>241</v>
      </c>
      <c r="B250" s="1" t="s">
        <v>169</v>
      </c>
      <c r="C250" s="1" t="s">
        <v>32</v>
      </c>
      <c r="D250" s="1" t="s">
        <v>171</v>
      </c>
      <c r="E250" s="1" t="s">
        <v>242</v>
      </c>
      <c r="F250" s="1" t="s">
        <v>16</v>
      </c>
      <c r="G250" s="1"/>
      <c r="H250" s="1"/>
      <c r="I250" s="1"/>
      <c r="J250" s="1"/>
      <c r="K250" s="1"/>
      <c r="L250" s="41">
        <f>L251</f>
        <v>1669.7449999999999</v>
      </c>
      <c r="M250" s="41">
        <f>M251</f>
        <v>1650.32016</v>
      </c>
      <c r="N250" s="46">
        <f t="shared" si="16"/>
        <v>98.836658292134445</v>
      </c>
    </row>
    <row r="251" spans="1:14" ht="46.8" outlineLevel="7">
      <c r="A251" s="2" t="s">
        <v>41</v>
      </c>
      <c r="B251" s="1" t="s">
        <v>169</v>
      </c>
      <c r="C251" s="1" t="s">
        <v>32</v>
      </c>
      <c r="D251" s="1" t="s">
        <v>171</v>
      </c>
      <c r="E251" s="1" t="s">
        <v>242</v>
      </c>
      <c r="F251" s="1" t="s">
        <v>42</v>
      </c>
      <c r="G251" s="1"/>
      <c r="H251" s="1"/>
      <c r="I251" s="1"/>
      <c r="J251" s="1"/>
      <c r="K251" s="1"/>
      <c r="L251" s="41">
        <f>4500-300-2530.255</f>
        <v>1669.7449999999999</v>
      </c>
      <c r="M251" s="44">
        <v>1650.32016</v>
      </c>
      <c r="N251" s="46">
        <f t="shared" si="16"/>
        <v>98.836658292134445</v>
      </c>
    </row>
    <row r="252" spans="1:14" ht="31.2" outlineLevel="7">
      <c r="A252" s="2" t="s">
        <v>247</v>
      </c>
      <c r="B252" s="1" t="s">
        <v>169</v>
      </c>
      <c r="C252" s="1" t="s">
        <v>32</v>
      </c>
      <c r="D252" s="1" t="s">
        <v>171</v>
      </c>
      <c r="E252" s="1" t="s">
        <v>692</v>
      </c>
      <c r="F252" s="1" t="s">
        <v>16</v>
      </c>
      <c r="G252" s="1"/>
      <c r="H252" s="1"/>
      <c r="I252" s="1"/>
      <c r="J252" s="1"/>
      <c r="K252" s="1"/>
      <c r="L252" s="41">
        <f>L253</f>
        <v>974.8</v>
      </c>
      <c r="M252" s="41">
        <f>M253</f>
        <v>974.8</v>
      </c>
      <c r="N252" s="46">
        <f t="shared" si="16"/>
        <v>100</v>
      </c>
    </row>
    <row r="253" spans="1:14" ht="46.8" outlineLevel="7">
      <c r="A253" s="2" t="s">
        <v>233</v>
      </c>
      <c r="B253" s="1" t="s">
        <v>169</v>
      </c>
      <c r="C253" s="1" t="s">
        <v>32</v>
      </c>
      <c r="D253" s="1" t="s">
        <v>171</v>
      </c>
      <c r="E253" s="1" t="s">
        <v>692</v>
      </c>
      <c r="F253" s="1" t="s">
        <v>234</v>
      </c>
      <c r="G253" s="1"/>
      <c r="H253" s="1"/>
      <c r="I253" s="1"/>
      <c r="J253" s="1"/>
      <c r="K253" s="1"/>
      <c r="L253" s="41">
        <f>930+11.4+33.4</f>
        <v>974.8</v>
      </c>
      <c r="M253" s="41">
        <f>930+11.4+33.4</f>
        <v>974.8</v>
      </c>
      <c r="N253" s="46">
        <f t="shared" si="16"/>
        <v>100</v>
      </c>
    </row>
    <row r="254" spans="1:14" ht="46.8" outlineLevel="7">
      <c r="A254" s="2" t="s">
        <v>286</v>
      </c>
      <c r="B254" s="1" t="s">
        <v>169</v>
      </c>
      <c r="C254" s="1" t="s">
        <v>32</v>
      </c>
      <c r="D254" s="1" t="s">
        <v>171</v>
      </c>
      <c r="E254" s="1" t="s">
        <v>287</v>
      </c>
      <c r="F254" s="1" t="s">
        <v>16</v>
      </c>
      <c r="G254" s="1"/>
      <c r="H254" s="1"/>
      <c r="I254" s="1"/>
      <c r="J254" s="1"/>
      <c r="K254" s="1"/>
      <c r="L254" s="41">
        <f t="shared" ref="L254:M256" si="17">L255</f>
        <v>903.62800000000004</v>
      </c>
      <c r="M254" s="41">
        <f t="shared" si="17"/>
        <v>903.62800000000004</v>
      </c>
      <c r="N254" s="46">
        <f t="shared" si="16"/>
        <v>100</v>
      </c>
    </row>
    <row r="255" spans="1:14" ht="46.8" outlineLevel="7">
      <c r="A255" s="2" t="s">
        <v>288</v>
      </c>
      <c r="B255" s="1" t="s">
        <v>169</v>
      </c>
      <c r="C255" s="1" t="s">
        <v>32</v>
      </c>
      <c r="D255" s="1" t="s">
        <v>171</v>
      </c>
      <c r="E255" s="1" t="s">
        <v>289</v>
      </c>
      <c r="F255" s="1" t="s">
        <v>16</v>
      </c>
      <c r="G255" s="1"/>
      <c r="H255" s="1"/>
      <c r="I255" s="1"/>
      <c r="J255" s="1"/>
      <c r="K255" s="1"/>
      <c r="L255" s="41">
        <f t="shared" si="17"/>
        <v>903.62800000000004</v>
      </c>
      <c r="M255" s="41">
        <f t="shared" si="17"/>
        <v>903.62800000000004</v>
      </c>
      <c r="N255" s="46">
        <f t="shared" si="16"/>
        <v>100</v>
      </c>
    </row>
    <row r="256" spans="1:14" ht="46.8" outlineLevel="7">
      <c r="A256" s="2" t="s">
        <v>290</v>
      </c>
      <c r="B256" s="1" t="s">
        <v>169</v>
      </c>
      <c r="C256" s="1" t="s">
        <v>32</v>
      </c>
      <c r="D256" s="1" t="s">
        <v>171</v>
      </c>
      <c r="E256" s="1" t="s">
        <v>291</v>
      </c>
      <c r="F256" s="1" t="s">
        <v>16</v>
      </c>
      <c r="G256" s="1"/>
      <c r="H256" s="1"/>
      <c r="I256" s="1"/>
      <c r="J256" s="1"/>
      <c r="K256" s="1"/>
      <c r="L256" s="41">
        <f t="shared" si="17"/>
        <v>903.62800000000004</v>
      </c>
      <c r="M256" s="41">
        <f t="shared" si="17"/>
        <v>903.62800000000004</v>
      </c>
      <c r="N256" s="46">
        <f t="shared" si="16"/>
        <v>100</v>
      </c>
    </row>
    <row r="257" spans="1:14" ht="62.4" outlineLevel="7">
      <c r="A257" s="2" t="s">
        <v>90</v>
      </c>
      <c r="B257" s="1" t="s">
        <v>169</v>
      </c>
      <c r="C257" s="1" t="s">
        <v>32</v>
      </c>
      <c r="D257" s="1" t="s">
        <v>171</v>
      </c>
      <c r="E257" s="1" t="s">
        <v>291</v>
      </c>
      <c r="F257" s="1" t="s">
        <v>91</v>
      </c>
      <c r="G257" s="1"/>
      <c r="H257" s="1"/>
      <c r="I257" s="1"/>
      <c r="J257" s="1"/>
      <c r="K257" s="1"/>
      <c r="L257" s="41">
        <f>723.628+180</f>
        <v>903.62800000000004</v>
      </c>
      <c r="M257" s="41">
        <f>723.628+180</f>
        <v>903.62800000000004</v>
      </c>
      <c r="N257" s="46">
        <f t="shared" si="16"/>
        <v>100</v>
      </c>
    </row>
    <row r="258" spans="1:14" ht="31.2" outlineLevel="2">
      <c r="A258" s="5" t="s">
        <v>106</v>
      </c>
      <c r="B258" s="6" t="s">
        <v>169</v>
      </c>
      <c r="C258" s="6" t="s">
        <v>32</v>
      </c>
      <c r="D258" s="6" t="s">
        <v>107</v>
      </c>
      <c r="E258" s="6"/>
      <c r="F258" s="6"/>
      <c r="G258" s="6"/>
      <c r="H258" s="6"/>
      <c r="I258" s="6"/>
      <c r="J258" s="6"/>
      <c r="K258" s="6"/>
      <c r="L258" s="40">
        <f>L259+L263</f>
        <v>575.80999999999995</v>
      </c>
      <c r="M258" s="40">
        <f>M259+M263</f>
        <v>568.61</v>
      </c>
      <c r="N258" s="47">
        <f t="shared" si="16"/>
        <v>98.749587537555811</v>
      </c>
    </row>
    <row r="259" spans="1:14" ht="31.2" outlineLevel="3">
      <c r="A259" s="2" t="s">
        <v>243</v>
      </c>
      <c r="B259" s="1" t="s">
        <v>169</v>
      </c>
      <c r="C259" s="1" t="s">
        <v>32</v>
      </c>
      <c r="D259" s="1" t="s">
        <v>107</v>
      </c>
      <c r="E259" s="1" t="s">
        <v>244</v>
      </c>
      <c r="F259" s="1" t="s">
        <v>16</v>
      </c>
      <c r="G259" s="1"/>
      <c r="H259" s="1"/>
      <c r="I259" s="1"/>
      <c r="J259" s="1"/>
      <c r="K259" s="1"/>
      <c r="L259" s="41">
        <f t="shared" ref="L259:M261" si="18">L260</f>
        <v>500</v>
      </c>
      <c r="M259" s="41">
        <f t="shared" si="18"/>
        <v>492.8</v>
      </c>
      <c r="N259" s="46">
        <f t="shared" si="16"/>
        <v>98.56</v>
      </c>
    </row>
    <row r="260" spans="1:14" ht="31.2" outlineLevel="5">
      <c r="A260" s="2" t="s">
        <v>245</v>
      </c>
      <c r="B260" s="1" t="s">
        <v>169</v>
      </c>
      <c r="C260" s="1" t="s">
        <v>32</v>
      </c>
      <c r="D260" s="1" t="s">
        <v>107</v>
      </c>
      <c r="E260" s="1" t="s">
        <v>246</v>
      </c>
      <c r="F260" s="1" t="s">
        <v>16</v>
      </c>
      <c r="G260" s="1"/>
      <c r="H260" s="1"/>
      <c r="I260" s="1"/>
      <c r="J260" s="1"/>
      <c r="K260" s="1"/>
      <c r="L260" s="41">
        <f t="shared" si="18"/>
        <v>500</v>
      </c>
      <c r="M260" s="41">
        <f t="shared" si="18"/>
        <v>492.8</v>
      </c>
      <c r="N260" s="46">
        <f t="shared" si="16"/>
        <v>98.56</v>
      </c>
    </row>
    <row r="261" spans="1:14" ht="32.25" customHeight="1" outlineLevel="6">
      <c r="A261" s="2" t="s">
        <v>247</v>
      </c>
      <c r="B261" s="1" t="s">
        <v>169</v>
      </c>
      <c r="C261" s="1" t="s">
        <v>32</v>
      </c>
      <c r="D261" s="1" t="s">
        <v>107</v>
      </c>
      <c r="E261" s="1" t="s">
        <v>248</v>
      </c>
      <c r="F261" s="1" t="s">
        <v>16</v>
      </c>
      <c r="G261" s="1"/>
      <c r="H261" s="1"/>
      <c r="I261" s="1"/>
      <c r="J261" s="1"/>
      <c r="K261" s="1"/>
      <c r="L261" s="41">
        <f t="shared" si="18"/>
        <v>500</v>
      </c>
      <c r="M261" s="41">
        <f t="shared" si="18"/>
        <v>492.8</v>
      </c>
      <c r="N261" s="46">
        <f t="shared" si="16"/>
        <v>98.56</v>
      </c>
    </row>
    <row r="262" spans="1:14" ht="46.8" outlineLevel="7">
      <c r="A262" s="2" t="s">
        <v>233</v>
      </c>
      <c r="B262" s="1" t="s">
        <v>169</v>
      </c>
      <c r="C262" s="1" t="s">
        <v>32</v>
      </c>
      <c r="D262" s="1" t="s">
        <v>107</v>
      </c>
      <c r="E262" s="1" t="s">
        <v>248</v>
      </c>
      <c r="F262" s="1" t="s">
        <v>234</v>
      </c>
      <c r="G262" s="1"/>
      <c r="H262" s="1"/>
      <c r="I262" s="1"/>
      <c r="J262" s="1"/>
      <c r="K262" s="1"/>
      <c r="L262" s="41">
        <v>500</v>
      </c>
      <c r="M262" s="44">
        <v>492.8</v>
      </c>
      <c r="N262" s="46">
        <f t="shared" si="16"/>
        <v>98.56</v>
      </c>
    </row>
    <row r="263" spans="1:14" ht="49.5" customHeight="1" outlineLevel="3">
      <c r="A263" s="2" t="s">
        <v>249</v>
      </c>
      <c r="B263" s="1" t="s">
        <v>169</v>
      </c>
      <c r="C263" s="1" t="s">
        <v>32</v>
      </c>
      <c r="D263" s="1" t="s">
        <v>107</v>
      </c>
      <c r="E263" s="1" t="s">
        <v>250</v>
      </c>
      <c r="F263" s="1" t="s">
        <v>16</v>
      </c>
      <c r="G263" s="1"/>
      <c r="H263" s="1"/>
      <c r="I263" s="1"/>
      <c r="J263" s="1"/>
      <c r="K263" s="1"/>
      <c r="L263" s="41">
        <f t="shared" ref="L263:M265" si="19">L264</f>
        <v>75.81</v>
      </c>
      <c r="M263" s="41">
        <f t="shared" si="19"/>
        <v>75.81</v>
      </c>
      <c r="N263" s="46">
        <f t="shared" si="16"/>
        <v>100</v>
      </c>
    </row>
    <row r="264" spans="1:14" ht="46.8" outlineLevel="5">
      <c r="A264" s="2" t="s">
        <v>251</v>
      </c>
      <c r="B264" s="1" t="s">
        <v>169</v>
      </c>
      <c r="C264" s="1" t="s">
        <v>32</v>
      </c>
      <c r="D264" s="1" t="s">
        <v>107</v>
      </c>
      <c r="E264" s="1" t="s">
        <v>252</v>
      </c>
      <c r="F264" s="1" t="s">
        <v>16</v>
      </c>
      <c r="G264" s="1"/>
      <c r="H264" s="1"/>
      <c r="I264" s="1"/>
      <c r="J264" s="1"/>
      <c r="K264" s="1"/>
      <c r="L264" s="41">
        <f t="shared" si="19"/>
        <v>75.81</v>
      </c>
      <c r="M264" s="41">
        <f t="shared" si="19"/>
        <v>75.81</v>
      </c>
      <c r="N264" s="46">
        <f t="shared" si="16"/>
        <v>100</v>
      </c>
    </row>
    <row r="265" spans="1:14" ht="31.2" outlineLevel="6">
      <c r="A265" s="2" t="s">
        <v>253</v>
      </c>
      <c r="B265" s="1" t="s">
        <v>169</v>
      </c>
      <c r="C265" s="1" t="s">
        <v>32</v>
      </c>
      <c r="D265" s="1" t="s">
        <v>107</v>
      </c>
      <c r="E265" s="1" t="s">
        <v>254</v>
      </c>
      <c r="F265" s="1" t="s">
        <v>16</v>
      </c>
      <c r="G265" s="1"/>
      <c r="H265" s="1"/>
      <c r="I265" s="1"/>
      <c r="J265" s="1"/>
      <c r="K265" s="1"/>
      <c r="L265" s="41">
        <f t="shared" si="19"/>
        <v>75.81</v>
      </c>
      <c r="M265" s="41">
        <f t="shared" si="19"/>
        <v>75.81</v>
      </c>
      <c r="N265" s="46">
        <f t="shared" si="16"/>
        <v>100</v>
      </c>
    </row>
    <row r="266" spans="1:14" ht="46.8" outlineLevel="7">
      <c r="A266" s="2" t="s">
        <v>41</v>
      </c>
      <c r="B266" s="1" t="s">
        <v>169</v>
      </c>
      <c r="C266" s="1" t="s">
        <v>32</v>
      </c>
      <c r="D266" s="1" t="s">
        <v>107</v>
      </c>
      <c r="E266" s="1" t="s">
        <v>254</v>
      </c>
      <c r="F266" s="1" t="s">
        <v>42</v>
      </c>
      <c r="G266" s="1"/>
      <c r="H266" s="1"/>
      <c r="I266" s="1"/>
      <c r="J266" s="1"/>
      <c r="K266" s="1"/>
      <c r="L266" s="41">
        <v>75.81</v>
      </c>
      <c r="M266" s="41">
        <v>75.81</v>
      </c>
      <c r="N266" s="46">
        <f t="shared" si="16"/>
        <v>100</v>
      </c>
    </row>
    <row r="267" spans="1:14" ht="31.2" outlineLevel="1">
      <c r="A267" s="3" t="s">
        <v>255</v>
      </c>
      <c r="B267" s="4" t="s">
        <v>169</v>
      </c>
      <c r="C267" s="4" t="s">
        <v>46</v>
      </c>
      <c r="D267" s="4"/>
      <c r="E267" s="4"/>
      <c r="F267" s="4"/>
      <c r="G267" s="4"/>
      <c r="H267" s="4"/>
      <c r="I267" s="4"/>
      <c r="J267" s="4"/>
      <c r="K267" s="4"/>
      <c r="L267" s="39">
        <f>L268+L279+L307+L331</f>
        <v>257530.87207000001</v>
      </c>
      <c r="M267" s="39">
        <f>M268+M279+M307+M331</f>
        <v>142620.90123999998</v>
      </c>
      <c r="N267" s="49">
        <f t="shared" si="16"/>
        <v>55.380118155789063</v>
      </c>
    </row>
    <row r="268" spans="1:14" ht="15.6" outlineLevel="2">
      <c r="A268" s="5" t="s">
        <v>256</v>
      </c>
      <c r="B268" s="6" t="s">
        <v>169</v>
      </c>
      <c r="C268" s="6" t="s">
        <v>46</v>
      </c>
      <c r="D268" s="6" t="s">
        <v>18</v>
      </c>
      <c r="E268" s="6"/>
      <c r="F268" s="6"/>
      <c r="G268" s="6"/>
      <c r="H268" s="6"/>
      <c r="I268" s="6"/>
      <c r="J268" s="6"/>
      <c r="K268" s="6"/>
      <c r="L268" s="40">
        <f>L269</f>
        <v>18504.303070000002</v>
      </c>
      <c r="M268" s="40">
        <f>M269</f>
        <v>18218.324120000001</v>
      </c>
      <c r="N268" s="47">
        <f t="shared" si="16"/>
        <v>98.454527312278827</v>
      </c>
    </row>
    <row r="269" spans="1:14" ht="62.4" outlineLevel="3">
      <c r="A269" s="2" t="s">
        <v>257</v>
      </c>
      <c r="B269" s="1" t="s">
        <v>169</v>
      </c>
      <c r="C269" s="1" t="s">
        <v>46</v>
      </c>
      <c r="D269" s="1" t="s">
        <v>18</v>
      </c>
      <c r="E269" s="1" t="s">
        <v>258</v>
      </c>
      <c r="F269" s="1" t="s">
        <v>16</v>
      </c>
      <c r="G269" s="1"/>
      <c r="H269" s="1"/>
      <c r="I269" s="1"/>
      <c r="J269" s="1"/>
      <c r="K269" s="1"/>
      <c r="L269" s="41">
        <f>L270</f>
        <v>18504.303070000002</v>
      </c>
      <c r="M269" s="41">
        <f>M270</f>
        <v>18218.324120000001</v>
      </c>
      <c r="N269" s="46">
        <f t="shared" si="16"/>
        <v>98.454527312278827</v>
      </c>
    </row>
    <row r="270" spans="1:14" ht="62.4" outlineLevel="5">
      <c r="A270" s="2" t="s">
        <v>259</v>
      </c>
      <c r="B270" s="1" t="s">
        <v>169</v>
      </c>
      <c r="C270" s="1" t="s">
        <v>46</v>
      </c>
      <c r="D270" s="1" t="s">
        <v>18</v>
      </c>
      <c r="E270" s="1" t="s">
        <v>260</v>
      </c>
      <c r="F270" s="1" t="s">
        <v>16</v>
      </c>
      <c r="G270" s="1"/>
      <c r="H270" s="1"/>
      <c r="I270" s="1"/>
      <c r="J270" s="1"/>
      <c r="K270" s="1"/>
      <c r="L270" s="41">
        <f>L273+L275+L271+L277</f>
        <v>18504.303070000002</v>
      </c>
      <c r="M270" s="41">
        <f>M273+M275+M271+M277</f>
        <v>18218.324120000001</v>
      </c>
      <c r="N270" s="46">
        <f t="shared" si="16"/>
        <v>98.454527312278827</v>
      </c>
    </row>
    <row r="271" spans="1:14" ht="109.2" outlineLevel="5">
      <c r="A271" s="29" t="s">
        <v>695</v>
      </c>
      <c r="B271" s="1" t="s">
        <v>169</v>
      </c>
      <c r="C271" s="1" t="s">
        <v>46</v>
      </c>
      <c r="D271" s="1" t="s">
        <v>18</v>
      </c>
      <c r="E271" s="1" t="s">
        <v>697</v>
      </c>
      <c r="F271" s="1" t="s">
        <v>16</v>
      </c>
      <c r="G271" s="1"/>
      <c r="H271" s="1"/>
      <c r="I271" s="1"/>
      <c r="J271" s="1"/>
      <c r="K271" s="1"/>
      <c r="L271" s="41">
        <f>L272</f>
        <v>31.183070000000001</v>
      </c>
      <c r="M271" s="41">
        <f>M272</f>
        <v>31.183070000000001</v>
      </c>
      <c r="N271" s="46">
        <f t="shared" si="16"/>
        <v>100</v>
      </c>
    </row>
    <row r="272" spans="1:14" ht="62.4" outlineLevel="5">
      <c r="A272" s="29" t="s">
        <v>696</v>
      </c>
      <c r="B272" s="1" t="s">
        <v>169</v>
      </c>
      <c r="C272" s="1" t="s">
        <v>46</v>
      </c>
      <c r="D272" s="1" t="s">
        <v>18</v>
      </c>
      <c r="E272" s="1" t="s">
        <v>697</v>
      </c>
      <c r="F272" s="1" t="s">
        <v>91</v>
      </c>
      <c r="G272" s="1"/>
      <c r="H272" s="1"/>
      <c r="I272" s="1"/>
      <c r="J272" s="1"/>
      <c r="K272" s="1"/>
      <c r="L272" s="41">
        <v>31.183070000000001</v>
      </c>
      <c r="M272" s="41">
        <v>31.183070000000001</v>
      </c>
      <c r="N272" s="46">
        <f t="shared" si="16"/>
        <v>100</v>
      </c>
    </row>
    <row r="273" spans="1:14" ht="31.2" outlineLevel="6">
      <c r="A273" s="2" t="s">
        <v>261</v>
      </c>
      <c r="B273" s="1" t="s">
        <v>169</v>
      </c>
      <c r="C273" s="1" t="s">
        <v>46</v>
      </c>
      <c r="D273" s="1" t="s">
        <v>18</v>
      </c>
      <c r="E273" s="1" t="s">
        <v>262</v>
      </c>
      <c r="F273" s="1" t="s">
        <v>16</v>
      </c>
      <c r="G273" s="1"/>
      <c r="H273" s="1"/>
      <c r="I273" s="1"/>
      <c r="J273" s="1"/>
      <c r="K273" s="1"/>
      <c r="L273" s="41">
        <f>L274</f>
        <v>14023.61</v>
      </c>
      <c r="M273" s="41">
        <f>M274</f>
        <v>13741.124019999999</v>
      </c>
      <c r="N273" s="46">
        <f t="shared" si="16"/>
        <v>97.985640074132121</v>
      </c>
    </row>
    <row r="274" spans="1:14" ht="46.8" outlineLevel="7">
      <c r="A274" s="2" t="s">
        <v>41</v>
      </c>
      <c r="B274" s="1" t="s">
        <v>169</v>
      </c>
      <c r="C274" s="1" t="s">
        <v>46</v>
      </c>
      <c r="D274" s="1" t="s">
        <v>18</v>
      </c>
      <c r="E274" s="1" t="s">
        <v>262</v>
      </c>
      <c r="F274" s="1" t="s">
        <v>42</v>
      </c>
      <c r="G274" s="1"/>
      <c r="H274" s="1"/>
      <c r="I274" s="1"/>
      <c r="J274" s="1"/>
      <c r="K274" s="1"/>
      <c r="L274" s="41">
        <f>15100-1876.39-5000+6900-1100</f>
        <v>14023.61</v>
      </c>
      <c r="M274" s="44">
        <v>13741.124019999999</v>
      </c>
      <c r="N274" s="46">
        <f t="shared" si="16"/>
        <v>97.985640074132121</v>
      </c>
    </row>
    <row r="275" spans="1:14" ht="46.8" outlineLevel="6">
      <c r="A275" s="2" t="s">
        <v>263</v>
      </c>
      <c r="B275" s="1" t="s">
        <v>169</v>
      </c>
      <c r="C275" s="1" t="s">
        <v>46</v>
      </c>
      <c r="D275" s="1" t="s">
        <v>18</v>
      </c>
      <c r="E275" s="1" t="s">
        <v>264</v>
      </c>
      <c r="F275" s="1" t="s">
        <v>16</v>
      </c>
      <c r="G275" s="1"/>
      <c r="H275" s="1"/>
      <c r="I275" s="1"/>
      <c r="J275" s="1"/>
      <c r="K275" s="1"/>
      <c r="L275" s="41">
        <f>L276</f>
        <v>4410.3955400000004</v>
      </c>
      <c r="M275" s="41">
        <f>M276</f>
        <v>4406.9025700000002</v>
      </c>
      <c r="N275" s="46">
        <f t="shared" si="16"/>
        <v>99.920801434512597</v>
      </c>
    </row>
    <row r="276" spans="1:14" ht="59.25" customHeight="1" outlineLevel="7">
      <c r="A276" s="2" t="s">
        <v>90</v>
      </c>
      <c r="B276" s="1" t="s">
        <v>169</v>
      </c>
      <c r="C276" s="1" t="s">
        <v>46</v>
      </c>
      <c r="D276" s="1" t="s">
        <v>18</v>
      </c>
      <c r="E276" s="1" t="s">
        <v>264</v>
      </c>
      <c r="F276" s="1" t="s">
        <v>91</v>
      </c>
      <c r="G276" s="1"/>
      <c r="H276" s="1"/>
      <c r="I276" s="1"/>
      <c r="J276" s="1"/>
      <c r="K276" s="1"/>
      <c r="L276" s="41">
        <f>4449.51-39.11446</f>
        <v>4410.3955400000004</v>
      </c>
      <c r="M276" s="44">
        <v>4406.9025700000002</v>
      </c>
      <c r="N276" s="46">
        <f t="shared" si="16"/>
        <v>99.920801434512597</v>
      </c>
    </row>
    <row r="277" spans="1:14" ht="34.200000000000003" customHeight="1" outlineLevel="7">
      <c r="A277" s="29" t="s">
        <v>705</v>
      </c>
      <c r="B277" s="1" t="s">
        <v>169</v>
      </c>
      <c r="C277" s="1" t="s">
        <v>46</v>
      </c>
      <c r="D277" s="1" t="s">
        <v>18</v>
      </c>
      <c r="E277" s="1" t="s">
        <v>706</v>
      </c>
      <c r="F277" s="1" t="s">
        <v>16</v>
      </c>
      <c r="G277" s="1"/>
      <c r="H277" s="1"/>
      <c r="I277" s="1"/>
      <c r="J277" s="1"/>
      <c r="K277" s="1"/>
      <c r="L277" s="41">
        <f>L278</f>
        <v>39.114460000000001</v>
      </c>
      <c r="M277" s="41">
        <f>M278</f>
        <v>39.114460000000001</v>
      </c>
      <c r="N277" s="46">
        <f t="shared" si="16"/>
        <v>100</v>
      </c>
    </row>
    <row r="278" spans="1:14" ht="46.95" customHeight="1" outlineLevel="7">
      <c r="A278" s="29" t="s">
        <v>696</v>
      </c>
      <c r="B278" s="1" t="s">
        <v>169</v>
      </c>
      <c r="C278" s="1" t="s">
        <v>46</v>
      </c>
      <c r="D278" s="1" t="s">
        <v>18</v>
      </c>
      <c r="E278" s="1" t="s">
        <v>706</v>
      </c>
      <c r="F278" s="1" t="s">
        <v>91</v>
      </c>
      <c r="G278" s="1"/>
      <c r="H278" s="1"/>
      <c r="I278" s="1"/>
      <c r="J278" s="1"/>
      <c r="K278" s="1"/>
      <c r="L278" s="41">
        <v>39.114460000000001</v>
      </c>
      <c r="M278" s="41">
        <v>39.114460000000001</v>
      </c>
      <c r="N278" s="46">
        <f t="shared" si="16"/>
        <v>100</v>
      </c>
    </row>
    <row r="279" spans="1:14" ht="15.6" outlineLevel="2">
      <c r="A279" s="5" t="s">
        <v>265</v>
      </c>
      <c r="B279" s="6" t="s">
        <v>169</v>
      </c>
      <c r="C279" s="6" t="s">
        <v>46</v>
      </c>
      <c r="D279" s="6" t="s">
        <v>20</v>
      </c>
      <c r="E279" s="6"/>
      <c r="F279" s="6"/>
      <c r="G279" s="6"/>
      <c r="H279" s="6"/>
      <c r="I279" s="6"/>
      <c r="J279" s="6"/>
      <c r="K279" s="6"/>
      <c r="L279" s="40">
        <f>L280+L292+L298</f>
        <v>27172.409</v>
      </c>
      <c r="M279" s="40">
        <f>M280+M292+M298</f>
        <v>24315.34951</v>
      </c>
      <c r="N279" s="47">
        <f t="shared" si="16"/>
        <v>89.485439108472136</v>
      </c>
    </row>
    <row r="280" spans="1:14" ht="48.75" customHeight="1" outlineLevel="3">
      <c r="A280" s="2" t="s">
        <v>249</v>
      </c>
      <c r="B280" s="1" t="s">
        <v>169</v>
      </c>
      <c r="C280" s="1" t="s">
        <v>46</v>
      </c>
      <c r="D280" s="1" t="s">
        <v>20</v>
      </c>
      <c r="E280" s="1" t="s">
        <v>250</v>
      </c>
      <c r="F280" s="1" t="s">
        <v>16</v>
      </c>
      <c r="G280" s="1"/>
      <c r="H280" s="1"/>
      <c r="I280" s="1"/>
      <c r="J280" s="1"/>
      <c r="K280" s="1"/>
      <c r="L280" s="41">
        <f>L281+L286+L289</f>
        <v>17415.2</v>
      </c>
      <c r="M280" s="41">
        <f>M281+M286+M289</f>
        <v>14737.621639999999</v>
      </c>
      <c r="N280" s="46">
        <f t="shared" si="16"/>
        <v>84.625049611833333</v>
      </c>
    </row>
    <row r="281" spans="1:14" ht="46.8" outlineLevel="5">
      <c r="A281" s="2" t="s">
        <v>266</v>
      </c>
      <c r="B281" s="1" t="s">
        <v>169</v>
      </c>
      <c r="C281" s="1" t="s">
        <v>46</v>
      </c>
      <c r="D281" s="1" t="s">
        <v>20</v>
      </c>
      <c r="E281" s="1" t="s">
        <v>267</v>
      </c>
      <c r="F281" s="1" t="s">
        <v>16</v>
      </c>
      <c r="G281" s="1"/>
      <c r="H281" s="1"/>
      <c r="I281" s="1"/>
      <c r="J281" s="1"/>
      <c r="K281" s="1"/>
      <c r="L281" s="41">
        <f>L282+L284</f>
        <v>9233</v>
      </c>
      <c r="M281" s="41">
        <f>M282+M284</f>
        <v>8463.5449599999993</v>
      </c>
      <c r="N281" s="46">
        <f t="shared" si="16"/>
        <v>91.666251055994792</v>
      </c>
    </row>
    <row r="282" spans="1:14" ht="33" customHeight="1" outlineLevel="6">
      <c r="A282" s="2" t="s">
        <v>247</v>
      </c>
      <c r="B282" s="1" t="s">
        <v>169</v>
      </c>
      <c r="C282" s="1" t="s">
        <v>46</v>
      </c>
      <c r="D282" s="1" t="s">
        <v>20</v>
      </c>
      <c r="E282" s="1" t="s">
        <v>268</v>
      </c>
      <c r="F282" s="1" t="s">
        <v>16</v>
      </c>
      <c r="G282" s="1"/>
      <c r="H282" s="1"/>
      <c r="I282" s="1"/>
      <c r="J282" s="1"/>
      <c r="K282" s="1"/>
      <c r="L282" s="41">
        <f>L283</f>
        <v>7233</v>
      </c>
      <c r="M282" s="41">
        <f>M283</f>
        <v>6463.5449600000002</v>
      </c>
      <c r="N282" s="46">
        <f t="shared" si="16"/>
        <v>89.361882483063738</v>
      </c>
    </row>
    <row r="283" spans="1:14" ht="46.8" outlineLevel="7">
      <c r="A283" s="2" t="s">
        <v>233</v>
      </c>
      <c r="B283" s="1" t="s">
        <v>169</v>
      </c>
      <c r="C283" s="1" t="s">
        <v>46</v>
      </c>
      <c r="D283" s="1" t="s">
        <v>20</v>
      </c>
      <c r="E283" s="1" t="s">
        <v>268</v>
      </c>
      <c r="F283" s="1" t="s">
        <v>234</v>
      </c>
      <c r="G283" s="1"/>
      <c r="H283" s="1"/>
      <c r="I283" s="1"/>
      <c r="J283" s="1"/>
      <c r="K283" s="1"/>
      <c r="L283" s="41">
        <f>210+9300-210-2000-67</f>
        <v>7233</v>
      </c>
      <c r="M283" s="44">
        <v>6463.5449600000002</v>
      </c>
      <c r="N283" s="46">
        <f t="shared" si="16"/>
        <v>89.361882483063738</v>
      </c>
    </row>
    <row r="284" spans="1:14" ht="135" customHeight="1" outlineLevel="7">
      <c r="A284" s="2" t="s">
        <v>707</v>
      </c>
      <c r="B284" s="1" t="s">
        <v>169</v>
      </c>
      <c r="C284" s="1" t="s">
        <v>46</v>
      </c>
      <c r="D284" s="1" t="s">
        <v>20</v>
      </c>
      <c r="E284" s="1" t="s">
        <v>708</v>
      </c>
      <c r="F284" s="1" t="s">
        <v>16</v>
      </c>
      <c r="G284" s="1"/>
      <c r="H284" s="1"/>
      <c r="I284" s="1"/>
      <c r="J284" s="1"/>
      <c r="K284" s="1"/>
      <c r="L284" s="41">
        <f>L285</f>
        <v>2000</v>
      </c>
      <c r="M284" s="41">
        <f>M285</f>
        <v>2000</v>
      </c>
      <c r="N284" s="46">
        <f t="shared" si="16"/>
        <v>100</v>
      </c>
    </row>
    <row r="285" spans="1:14" ht="46.8" outlineLevel="7">
      <c r="A285" s="2" t="s">
        <v>233</v>
      </c>
      <c r="B285" s="1" t="s">
        <v>169</v>
      </c>
      <c r="C285" s="1" t="s">
        <v>46</v>
      </c>
      <c r="D285" s="1" t="s">
        <v>20</v>
      </c>
      <c r="E285" s="1" t="s">
        <v>708</v>
      </c>
      <c r="F285" s="1" t="s">
        <v>234</v>
      </c>
      <c r="G285" s="1"/>
      <c r="H285" s="1"/>
      <c r="I285" s="1"/>
      <c r="J285" s="1"/>
      <c r="K285" s="1"/>
      <c r="L285" s="41">
        <v>2000</v>
      </c>
      <c r="M285" s="41">
        <v>2000</v>
      </c>
      <c r="N285" s="46">
        <f t="shared" si="16"/>
        <v>100</v>
      </c>
    </row>
    <row r="286" spans="1:14" ht="46.8" outlineLevel="5">
      <c r="A286" s="2" t="s">
        <v>269</v>
      </c>
      <c r="B286" s="1" t="s">
        <v>169</v>
      </c>
      <c r="C286" s="1" t="s">
        <v>46</v>
      </c>
      <c r="D286" s="1" t="s">
        <v>20</v>
      </c>
      <c r="E286" s="1" t="s">
        <v>270</v>
      </c>
      <c r="F286" s="1" t="s">
        <v>16</v>
      </c>
      <c r="G286" s="1"/>
      <c r="H286" s="1"/>
      <c r="I286" s="1"/>
      <c r="J286" s="1"/>
      <c r="K286" s="1"/>
      <c r="L286" s="41">
        <f>L287</f>
        <v>5615.2000000000007</v>
      </c>
      <c r="M286" s="41">
        <f>M287</f>
        <v>3707.2714000000001</v>
      </c>
      <c r="N286" s="46">
        <f t="shared" si="16"/>
        <v>66.022072232511746</v>
      </c>
    </row>
    <row r="287" spans="1:14" ht="32.25" customHeight="1" outlineLevel="6">
      <c r="A287" s="2" t="s">
        <v>247</v>
      </c>
      <c r="B287" s="1" t="s">
        <v>169</v>
      </c>
      <c r="C287" s="1" t="s">
        <v>46</v>
      </c>
      <c r="D287" s="1" t="s">
        <v>20</v>
      </c>
      <c r="E287" s="1" t="s">
        <v>271</v>
      </c>
      <c r="F287" s="1" t="s">
        <v>16</v>
      </c>
      <c r="G287" s="1"/>
      <c r="H287" s="1"/>
      <c r="I287" s="1"/>
      <c r="J287" s="1"/>
      <c r="K287" s="1"/>
      <c r="L287" s="41">
        <f>L288</f>
        <v>5615.2000000000007</v>
      </c>
      <c r="M287" s="41">
        <f>M288</f>
        <v>3707.2714000000001</v>
      </c>
      <c r="N287" s="46">
        <f t="shared" si="16"/>
        <v>66.022072232511746</v>
      </c>
    </row>
    <row r="288" spans="1:14" ht="46.8" outlineLevel="7">
      <c r="A288" s="2" t="s">
        <v>233</v>
      </c>
      <c r="B288" s="1" t="s">
        <v>169</v>
      </c>
      <c r="C288" s="1" t="s">
        <v>46</v>
      </c>
      <c r="D288" s="1" t="s">
        <v>20</v>
      </c>
      <c r="E288" s="1" t="s">
        <v>271</v>
      </c>
      <c r="F288" s="1" t="s">
        <v>234</v>
      </c>
      <c r="G288" s="1"/>
      <c r="H288" s="1"/>
      <c r="I288" s="1"/>
      <c r="J288" s="1"/>
      <c r="K288" s="1"/>
      <c r="L288" s="41">
        <f>50+5400+198.6-33.4</f>
        <v>5615.2000000000007</v>
      </c>
      <c r="M288" s="44">
        <v>3707.2714000000001</v>
      </c>
      <c r="N288" s="46">
        <f t="shared" si="16"/>
        <v>66.022072232511746</v>
      </c>
    </row>
    <row r="289" spans="1:14" ht="46.8" outlineLevel="5">
      <c r="A289" s="2" t="s">
        <v>272</v>
      </c>
      <c r="B289" s="1" t="s">
        <v>169</v>
      </c>
      <c r="C289" s="1" t="s">
        <v>46</v>
      </c>
      <c r="D289" s="1" t="s">
        <v>20</v>
      </c>
      <c r="E289" s="1" t="s">
        <v>273</v>
      </c>
      <c r="F289" s="1" t="s">
        <v>16</v>
      </c>
      <c r="G289" s="1"/>
      <c r="H289" s="1"/>
      <c r="I289" s="1"/>
      <c r="J289" s="1"/>
      <c r="K289" s="1"/>
      <c r="L289" s="41">
        <f>L290</f>
        <v>2567</v>
      </c>
      <c r="M289" s="41">
        <f>M290</f>
        <v>2566.80528</v>
      </c>
      <c r="N289" s="46">
        <f t="shared" si="16"/>
        <v>99.992414491624473</v>
      </c>
    </row>
    <row r="290" spans="1:14" ht="31.5" customHeight="1" outlineLevel="6">
      <c r="A290" s="2" t="s">
        <v>247</v>
      </c>
      <c r="B290" s="1" t="s">
        <v>169</v>
      </c>
      <c r="C290" s="1" t="s">
        <v>46</v>
      </c>
      <c r="D290" s="1" t="s">
        <v>20</v>
      </c>
      <c r="E290" s="1" t="s">
        <v>274</v>
      </c>
      <c r="F290" s="1" t="s">
        <v>16</v>
      </c>
      <c r="G290" s="1"/>
      <c r="H290" s="1"/>
      <c r="I290" s="1"/>
      <c r="J290" s="1"/>
      <c r="K290" s="1"/>
      <c r="L290" s="41">
        <f>L291</f>
        <v>2567</v>
      </c>
      <c r="M290" s="41">
        <f>M291</f>
        <v>2566.80528</v>
      </c>
      <c r="N290" s="46">
        <f t="shared" si="16"/>
        <v>99.992414491624473</v>
      </c>
    </row>
    <row r="291" spans="1:14" ht="46.8" outlineLevel="7">
      <c r="A291" s="2" t="s">
        <v>233</v>
      </c>
      <c r="B291" s="1" t="s">
        <v>169</v>
      </c>
      <c r="C291" s="1" t="s">
        <v>46</v>
      </c>
      <c r="D291" s="1" t="s">
        <v>20</v>
      </c>
      <c r="E291" s="1" t="s">
        <v>274</v>
      </c>
      <c r="F291" s="1" t="s">
        <v>234</v>
      </c>
      <c r="G291" s="1"/>
      <c r="H291" s="1"/>
      <c r="I291" s="1"/>
      <c r="J291" s="1"/>
      <c r="K291" s="1"/>
      <c r="L291" s="41">
        <f>2500+67</f>
        <v>2567</v>
      </c>
      <c r="M291" s="44">
        <v>2566.80528</v>
      </c>
      <c r="N291" s="46">
        <f t="shared" si="16"/>
        <v>99.992414491624473</v>
      </c>
    </row>
    <row r="292" spans="1:14" ht="124.8" outlineLevel="3">
      <c r="A292" s="2" t="s">
        <v>227</v>
      </c>
      <c r="B292" s="1" t="s">
        <v>169</v>
      </c>
      <c r="C292" s="1" t="s">
        <v>46</v>
      </c>
      <c r="D292" s="1" t="s">
        <v>20</v>
      </c>
      <c r="E292" s="1" t="s">
        <v>228</v>
      </c>
      <c r="F292" s="1" t="s">
        <v>16</v>
      </c>
      <c r="G292" s="1"/>
      <c r="H292" s="1"/>
      <c r="I292" s="1"/>
      <c r="J292" s="1"/>
      <c r="K292" s="1"/>
      <c r="L292" s="41">
        <f>L293</f>
        <v>8916.2089999999989</v>
      </c>
      <c r="M292" s="41">
        <f>M293</f>
        <v>8741.2993100000003</v>
      </c>
      <c r="N292" s="46">
        <f t="shared" si="16"/>
        <v>98.038295311381802</v>
      </c>
    </row>
    <row r="293" spans="1:14" ht="46.8" outlineLevel="5">
      <c r="A293" s="2" t="s">
        <v>229</v>
      </c>
      <c r="B293" s="1" t="s">
        <v>169</v>
      </c>
      <c r="C293" s="1" t="s">
        <v>46</v>
      </c>
      <c r="D293" s="1" t="s">
        <v>20</v>
      </c>
      <c r="E293" s="1" t="s">
        <v>230</v>
      </c>
      <c r="F293" s="1" t="s">
        <v>16</v>
      </c>
      <c r="G293" s="1"/>
      <c r="H293" s="1"/>
      <c r="I293" s="1"/>
      <c r="J293" s="1"/>
      <c r="K293" s="1"/>
      <c r="L293" s="41">
        <f>L296+L294</f>
        <v>8916.2089999999989</v>
      </c>
      <c r="M293" s="41">
        <f>M296+M294</f>
        <v>8741.2993100000003</v>
      </c>
      <c r="N293" s="46">
        <f t="shared" si="16"/>
        <v>98.038295311381802</v>
      </c>
    </row>
    <row r="294" spans="1:14" ht="93.6" outlineLevel="5">
      <c r="A294" s="2" t="s">
        <v>231</v>
      </c>
      <c r="B294" s="1" t="s">
        <v>169</v>
      </c>
      <c r="C294" s="1" t="s">
        <v>46</v>
      </c>
      <c r="D294" s="1" t="s">
        <v>20</v>
      </c>
      <c r="E294" s="1" t="s">
        <v>639</v>
      </c>
      <c r="F294" s="1" t="s">
        <v>16</v>
      </c>
      <c r="G294" s="1"/>
      <c r="H294" s="1"/>
      <c r="I294" s="1"/>
      <c r="J294" s="1"/>
      <c r="K294" s="1"/>
      <c r="L294" s="41">
        <f>L295</f>
        <v>5153.62</v>
      </c>
      <c r="M294" s="41">
        <f>M295</f>
        <v>5153.616</v>
      </c>
      <c r="N294" s="46">
        <f t="shared" si="16"/>
        <v>99.9999223846539</v>
      </c>
    </row>
    <row r="295" spans="1:14" ht="46.8" outlineLevel="5">
      <c r="A295" s="2" t="s">
        <v>233</v>
      </c>
      <c r="B295" s="1" t="s">
        <v>169</v>
      </c>
      <c r="C295" s="1" t="s">
        <v>46</v>
      </c>
      <c r="D295" s="1" t="s">
        <v>20</v>
      </c>
      <c r="E295" s="1" t="s">
        <v>639</v>
      </c>
      <c r="F295" s="1" t="s">
        <v>234</v>
      </c>
      <c r="G295" s="1"/>
      <c r="H295" s="1"/>
      <c r="I295" s="1"/>
      <c r="J295" s="1"/>
      <c r="K295" s="1"/>
      <c r="L295" s="41">
        <f>6594-1440.38</f>
        <v>5153.62</v>
      </c>
      <c r="M295" s="41">
        <v>5153.616</v>
      </c>
      <c r="N295" s="46">
        <f t="shared" si="16"/>
        <v>99.9999223846539</v>
      </c>
    </row>
    <row r="296" spans="1:14" ht="93.6" outlineLevel="6">
      <c r="A296" s="2" t="s">
        <v>231</v>
      </c>
      <c r="B296" s="1" t="s">
        <v>169</v>
      </c>
      <c r="C296" s="1" t="s">
        <v>46</v>
      </c>
      <c r="D296" s="1" t="s">
        <v>20</v>
      </c>
      <c r="E296" s="1" t="s">
        <v>232</v>
      </c>
      <c r="F296" s="1" t="s">
        <v>16</v>
      </c>
      <c r="G296" s="1"/>
      <c r="H296" s="1"/>
      <c r="I296" s="1"/>
      <c r="J296" s="1"/>
      <c r="K296" s="1"/>
      <c r="L296" s="41">
        <f>L297</f>
        <v>3762.5889999999999</v>
      </c>
      <c r="M296" s="41">
        <f>M297</f>
        <v>3587.6833099999999</v>
      </c>
      <c r="N296" s="46">
        <f t="shared" si="16"/>
        <v>95.351453746343267</v>
      </c>
    </row>
    <row r="297" spans="1:14" ht="46.8" outlineLevel="7">
      <c r="A297" s="2" t="s">
        <v>233</v>
      </c>
      <c r="B297" s="1" t="s">
        <v>169</v>
      </c>
      <c r="C297" s="1" t="s">
        <v>46</v>
      </c>
      <c r="D297" s="1" t="s">
        <v>20</v>
      </c>
      <c r="E297" s="1" t="s">
        <v>232</v>
      </c>
      <c r="F297" s="1" t="s">
        <v>234</v>
      </c>
      <c r="G297" s="1"/>
      <c r="H297" s="1"/>
      <c r="I297" s="1"/>
      <c r="J297" s="1"/>
      <c r="K297" s="1"/>
      <c r="L297" s="41">
        <f>4650+350-973.035-264.376</f>
        <v>3762.5889999999999</v>
      </c>
      <c r="M297" s="44">
        <v>3587.6833099999999</v>
      </c>
      <c r="N297" s="46">
        <f t="shared" si="16"/>
        <v>95.351453746343267</v>
      </c>
    </row>
    <row r="298" spans="1:14" ht="62.4" outlineLevel="3">
      <c r="A298" s="2" t="s">
        <v>275</v>
      </c>
      <c r="B298" s="1" t="s">
        <v>169</v>
      </c>
      <c r="C298" s="1" t="s">
        <v>46</v>
      </c>
      <c r="D298" s="1" t="s">
        <v>20</v>
      </c>
      <c r="E298" s="1" t="s">
        <v>276</v>
      </c>
      <c r="F298" s="1" t="s">
        <v>16</v>
      </c>
      <c r="G298" s="1"/>
      <c r="H298" s="1"/>
      <c r="I298" s="1"/>
      <c r="J298" s="1"/>
      <c r="K298" s="1"/>
      <c r="L298" s="41">
        <f>L299+L304</f>
        <v>841</v>
      </c>
      <c r="M298" s="41">
        <f>M299+M304</f>
        <v>836.42855999999995</v>
      </c>
      <c r="N298" s="46">
        <f t="shared" si="16"/>
        <v>99.456428061831147</v>
      </c>
    </row>
    <row r="299" spans="1:14" ht="62.4" hidden="1" outlineLevel="5">
      <c r="A299" s="2" t="s">
        <v>277</v>
      </c>
      <c r="B299" s="1" t="s">
        <v>169</v>
      </c>
      <c r="C299" s="1" t="s">
        <v>46</v>
      </c>
      <c r="D299" s="1" t="s">
        <v>20</v>
      </c>
      <c r="E299" s="1" t="s">
        <v>278</v>
      </c>
      <c r="F299" s="1" t="s">
        <v>16</v>
      </c>
      <c r="G299" s="1"/>
      <c r="H299" s="1"/>
      <c r="I299" s="1"/>
      <c r="J299" s="1"/>
      <c r="K299" s="1"/>
      <c r="L299" s="41">
        <f>L300+L302</f>
        <v>0</v>
      </c>
      <c r="M299" s="41">
        <f>M300+M302</f>
        <v>0</v>
      </c>
      <c r="N299" s="46" t="e">
        <f t="shared" si="16"/>
        <v>#DIV/0!</v>
      </c>
    </row>
    <row r="300" spans="1:14" ht="32.25" hidden="1" customHeight="1" outlineLevel="6">
      <c r="A300" s="2" t="s">
        <v>279</v>
      </c>
      <c r="B300" s="1" t="s">
        <v>169</v>
      </c>
      <c r="C300" s="1" t="s">
        <v>46</v>
      </c>
      <c r="D300" s="1" t="s">
        <v>20</v>
      </c>
      <c r="E300" s="1" t="s">
        <v>282</v>
      </c>
      <c r="F300" s="1" t="s">
        <v>16</v>
      </c>
      <c r="G300" s="1"/>
      <c r="H300" s="1"/>
      <c r="I300" s="1"/>
      <c r="J300" s="1"/>
      <c r="K300" s="1"/>
      <c r="L300" s="41">
        <f>L301</f>
        <v>0</v>
      </c>
      <c r="M300" s="41">
        <f>M301</f>
        <v>0</v>
      </c>
      <c r="N300" s="46" t="e">
        <f t="shared" si="16"/>
        <v>#DIV/0!</v>
      </c>
    </row>
    <row r="301" spans="1:14" ht="46.8" hidden="1" outlineLevel="7">
      <c r="A301" s="2" t="s">
        <v>233</v>
      </c>
      <c r="B301" s="1" t="s">
        <v>169</v>
      </c>
      <c r="C301" s="1" t="s">
        <v>46</v>
      </c>
      <c r="D301" s="1" t="s">
        <v>20</v>
      </c>
      <c r="E301" s="1" t="s">
        <v>282</v>
      </c>
      <c r="F301" s="1" t="s">
        <v>234</v>
      </c>
      <c r="G301" s="1"/>
      <c r="H301" s="1"/>
      <c r="I301" s="1"/>
      <c r="J301" s="1"/>
      <c r="K301" s="1"/>
      <c r="L301" s="41">
        <f>332-332</f>
        <v>0</v>
      </c>
      <c r="M301" s="41">
        <f>332-332</f>
        <v>0</v>
      </c>
      <c r="N301" s="46" t="e">
        <f t="shared" si="16"/>
        <v>#DIV/0!</v>
      </c>
    </row>
    <row r="302" spans="1:14" ht="31.2" hidden="1" outlineLevel="6">
      <c r="A302" s="2" t="s">
        <v>283</v>
      </c>
      <c r="B302" s="1" t="s">
        <v>169</v>
      </c>
      <c r="C302" s="1" t="s">
        <v>46</v>
      </c>
      <c r="D302" s="1" t="s">
        <v>20</v>
      </c>
      <c r="E302" s="1" t="s">
        <v>284</v>
      </c>
      <c r="F302" s="1" t="s">
        <v>16</v>
      </c>
      <c r="G302" s="1"/>
      <c r="H302" s="1"/>
      <c r="I302" s="1"/>
      <c r="J302" s="1"/>
      <c r="K302" s="1"/>
      <c r="L302" s="41">
        <f>L303</f>
        <v>0</v>
      </c>
      <c r="M302" s="41">
        <f>M303</f>
        <v>0</v>
      </c>
      <c r="N302" s="46" t="e">
        <f t="shared" si="16"/>
        <v>#DIV/0!</v>
      </c>
    </row>
    <row r="303" spans="1:14" ht="46.8" hidden="1" outlineLevel="7">
      <c r="A303" s="2" t="s">
        <v>233</v>
      </c>
      <c r="B303" s="1" t="s">
        <v>169</v>
      </c>
      <c r="C303" s="1" t="s">
        <v>46</v>
      </c>
      <c r="D303" s="1" t="s">
        <v>20</v>
      </c>
      <c r="E303" s="1" t="s">
        <v>284</v>
      </c>
      <c r="F303" s="1" t="s">
        <v>234</v>
      </c>
      <c r="G303" s="1"/>
      <c r="H303" s="1"/>
      <c r="I303" s="1"/>
      <c r="J303" s="1"/>
      <c r="K303" s="1"/>
      <c r="L303" s="41">
        <f>1139-1139</f>
        <v>0</v>
      </c>
      <c r="M303" s="41">
        <f>1139-1139</f>
        <v>0</v>
      </c>
      <c r="N303" s="46" t="e">
        <f t="shared" si="16"/>
        <v>#DIV/0!</v>
      </c>
    </row>
    <row r="304" spans="1:14" ht="62.4" outlineLevel="7">
      <c r="A304" s="2" t="s">
        <v>638</v>
      </c>
      <c r="B304" s="1" t="s">
        <v>169</v>
      </c>
      <c r="C304" s="1" t="s">
        <v>46</v>
      </c>
      <c r="D304" s="1" t="s">
        <v>20</v>
      </c>
      <c r="E304" s="1" t="s">
        <v>636</v>
      </c>
      <c r="F304" s="1" t="s">
        <v>16</v>
      </c>
      <c r="G304" s="1"/>
      <c r="H304" s="1"/>
      <c r="I304" s="1"/>
      <c r="J304" s="1"/>
      <c r="K304" s="1"/>
      <c r="L304" s="41">
        <f>L305</f>
        <v>841</v>
      </c>
      <c r="M304" s="41">
        <f>M305</f>
        <v>836.42855999999995</v>
      </c>
      <c r="N304" s="46">
        <f t="shared" si="16"/>
        <v>99.456428061831147</v>
      </c>
    </row>
    <row r="305" spans="1:14" ht="46.8" outlineLevel="7">
      <c r="A305" s="2" t="s">
        <v>635</v>
      </c>
      <c r="B305" s="1" t="s">
        <v>169</v>
      </c>
      <c r="C305" s="1" t="s">
        <v>46</v>
      </c>
      <c r="D305" s="1" t="s">
        <v>20</v>
      </c>
      <c r="E305" s="1" t="s">
        <v>636</v>
      </c>
      <c r="F305" s="1" t="s">
        <v>16</v>
      </c>
      <c r="G305" s="1"/>
      <c r="H305" s="1"/>
      <c r="I305" s="1"/>
      <c r="J305" s="1"/>
      <c r="K305" s="1"/>
      <c r="L305" s="41">
        <f>L306</f>
        <v>841</v>
      </c>
      <c r="M305" s="41">
        <f>M306</f>
        <v>836.42855999999995</v>
      </c>
      <c r="N305" s="46">
        <f t="shared" si="16"/>
        <v>99.456428061831147</v>
      </c>
    </row>
    <row r="306" spans="1:14" ht="46.8" outlineLevel="7">
      <c r="A306" s="2" t="s">
        <v>41</v>
      </c>
      <c r="B306" s="1" t="s">
        <v>169</v>
      </c>
      <c r="C306" s="1" t="s">
        <v>46</v>
      </c>
      <c r="D306" s="1" t="s">
        <v>20</v>
      </c>
      <c r="E306" s="1" t="s">
        <v>637</v>
      </c>
      <c r="F306" s="1" t="s">
        <v>42</v>
      </c>
      <c r="G306" s="1"/>
      <c r="H306" s="1"/>
      <c r="I306" s="1"/>
      <c r="J306" s="1"/>
      <c r="K306" s="1"/>
      <c r="L306" s="41">
        <v>841</v>
      </c>
      <c r="M306" s="44">
        <v>836.42855999999995</v>
      </c>
      <c r="N306" s="46">
        <f t="shared" si="16"/>
        <v>99.456428061831147</v>
      </c>
    </row>
    <row r="307" spans="1:14" ht="15.6" outlineLevel="2">
      <c r="A307" s="5" t="s">
        <v>285</v>
      </c>
      <c r="B307" s="6" t="s">
        <v>169</v>
      </c>
      <c r="C307" s="6" t="s">
        <v>46</v>
      </c>
      <c r="D307" s="6" t="s">
        <v>93</v>
      </c>
      <c r="E307" s="6"/>
      <c r="F307" s="6"/>
      <c r="G307" s="6"/>
      <c r="H307" s="6"/>
      <c r="I307" s="6"/>
      <c r="J307" s="6"/>
      <c r="K307" s="6"/>
      <c r="L307" s="40">
        <f>L308+L313</f>
        <v>194800.815</v>
      </c>
      <c r="M307" s="40">
        <f>M308+M313</f>
        <v>84228.467549999987</v>
      </c>
      <c r="N307" s="47">
        <f t="shared" ref="N307:N370" si="20">M307/L307*100</f>
        <v>43.238252134622734</v>
      </c>
    </row>
    <row r="308" spans="1:14" ht="78" outlineLevel="3">
      <c r="A308" s="2" t="s">
        <v>178</v>
      </c>
      <c r="B308" s="1" t="s">
        <v>169</v>
      </c>
      <c r="C308" s="1" t="s">
        <v>46</v>
      </c>
      <c r="D308" s="1" t="s">
        <v>93</v>
      </c>
      <c r="E308" s="1" t="s">
        <v>179</v>
      </c>
      <c r="F308" s="1" t="s">
        <v>16</v>
      </c>
      <c r="G308" s="1"/>
      <c r="H308" s="1"/>
      <c r="I308" s="1"/>
      <c r="J308" s="1"/>
      <c r="K308" s="1"/>
      <c r="L308" s="41">
        <f t="shared" ref="L308:M311" si="21">L309</f>
        <v>50</v>
      </c>
      <c r="M308" s="41">
        <f t="shared" si="21"/>
        <v>49.923000000000002</v>
      </c>
      <c r="N308" s="46">
        <f t="shared" si="20"/>
        <v>99.846000000000004</v>
      </c>
    </row>
    <row r="309" spans="1:14" ht="97.5" customHeight="1" outlineLevel="4">
      <c r="A309" s="2" t="s">
        <v>180</v>
      </c>
      <c r="B309" s="1" t="s">
        <v>169</v>
      </c>
      <c r="C309" s="1" t="s">
        <v>46</v>
      </c>
      <c r="D309" s="1" t="s">
        <v>93</v>
      </c>
      <c r="E309" s="1" t="s">
        <v>181</v>
      </c>
      <c r="F309" s="1" t="s">
        <v>16</v>
      </c>
      <c r="G309" s="1"/>
      <c r="H309" s="1"/>
      <c r="I309" s="1"/>
      <c r="J309" s="1"/>
      <c r="K309" s="1"/>
      <c r="L309" s="41">
        <f t="shared" si="21"/>
        <v>50</v>
      </c>
      <c r="M309" s="41">
        <f t="shared" si="21"/>
        <v>49.923000000000002</v>
      </c>
      <c r="N309" s="46">
        <f t="shared" si="20"/>
        <v>99.846000000000004</v>
      </c>
    </row>
    <row r="310" spans="1:14" ht="62.4" outlineLevel="5">
      <c r="A310" s="2" t="s">
        <v>186</v>
      </c>
      <c r="B310" s="1" t="s">
        <v>169</v>
      </c>
      <c r="C310" s="1" t="s">
        <v>46</v>
      </c>
      <c r="D310" s="1" t="s">
        <v>93</v>
      </c>
      <c r="E310" s="1" t="s">
        <v>187</v>
      </c>
      <c r="F310" s="1" t="s">
        <v>16</v>
      </c>
      <c r="G310" s="1"/>
      <c r="H310" s="1"/>
      <c r="I310" s="1"/>
      <c r="J310" s="1"/>
      <c r="K310" s="1"/>
      <c r="L310" s="41">
        <f t="shared" si="21"/>
        <v>50</v>
      </c>
      <c r="M310" s="41">
        <f t="shared" si="21"/>
        <v>49.923000000000002</v>
      </c>
      <c r="N310" s="46">
        <f t="shared" si="20"/>
        <v>99.846000000000004</v>
      </c>
    </row>
    <row r="311" spans="1:14" ht="46.8" outlineLevel="6">
      <c r="A311" s="2" t="s">
        <v>188</v>
      </c>
      <c r="B311" s="1" t="s">
        <v>169</v>
      </c>
      <c r="C311" s="1" t="s">
        <v>46</v>
      </c>
      <c r="D311" s="1" t="s">
        <v>93</v>
      </c>
      <c r="E311" s="1" t="s">
        <v>189</v>
      </c>
      <c r="F311" s="1" t="s">
        <v>16</v>
      </c>
      <c r="G311" s="1"/>
      <c r="H311" s="1"/>
      <c r="I311" s="1"/>
      <c r="J311" s="1"/>
      <c r="K311" s="1"/>
      <c r="L311" s="41">
        <f t="shared" si="21"/>
        <v>50</v>
      </c>
      <c r="M311" s="41">
        <f t="shared" si="21"/>
        <v>49.923000000000002</v>
      </c>
      <c r="N311" s="46">
        <f t="shared" si="20"/>
        <v>99.846000000000004</v>
      </c>
    </row>
    <row r="312" spans="1:14" ht="46.8" outlineLevel="7">
      <c r="A312" s="2" t="s">
        <v>41</v>
      </c>
      <c r="B312" s="1" t="s">
        <v>169</v>
      </c>
      <c r="C312" s="1" t="s">
        <v>46</v>
      </c>
      <c r="D312" s="1" t="s">
        <v>93</v>
      </c>
      <c r="E312" s="1" t="s">
        <v>189</v>
      </c>
      <c r="F312" s="1" t="s">
        <v>42</v>
      </c>
      <c r="G312" s="1"/>
      <c r="H312" s="1"/>
      <c r="I312" s="1"/>
      <c r="J312" s="1"/>
      <c r="K312" s="1"/>
      <c r="L312" s="41">
        <v>50</v>
      </c>
      <c r="M312" s="41">
        <v>49.923000000000002</v>
      </c>
      <c r="N312" s="46">
        <f t="shared" si="20"/>
        <v>99.846000000000004</v>
      </c>
    </row>
    <row r="313" spans="1:14" ht="46.8" outlineLevel="3">
      <c r="A313" s="2" t="s">
        <v>286</v>
      </c>
      <c r="B313" s="1" t="s">
        <v>169</v>
      </c>
      <c r="C313" s="1" t="s">
        <v>46</v>
      </c>
      <c r="D313" s="1" t="s">
        <v>93</v>
      </c>
      <c r="E313" s="1" t="s">
        <v>287</v>
      </c>
      <c r="F313" s="1" t="s">
        <v>16</v>
      </c>
      <c r="G313" s="1"/>
      <c r="H313" s="1"/>
      <c r="I313" s="1"/>
      <c r="J313" s="1"/>
      <c r="K313" s="1"/>
      <c r="L313" s="41">
        <f>L314+L325</f>
        <v>194750.815</v>
      </c>
      <c r="M313" s="41">
        <f>M314+M325</f>
        <v>84178.544549999991</v>
      </c>
      <c r="N313" s="46">
        <f t="shared" si="20"/>
        <v>43.223718755682739</v>
      </c>
    </row>
    <row r="314" spans="1:14" ht="46.8" outlineLevel="5">
      <c r="A314" s="2" t="s">
        <v>288</v>
      </c>
      <c r="B314" s="1" t="s">
        <v>169</v>
      </c>
      <c r="C314" s="1" t="s">
        <v>46</v>
      </c>
      <c r="D314" s="1" t="s">
        <v>93</v>
      </c>
      <c r="E314" s="1" t="s">
        <v>289</v>
      </c>
      <c r="F314" s="1" t="s">
        <v>16</v>
      </c>
      <c r="G314" s="1"/>
      <c r="H314" s="1"/>
      <c r="I314" s="1"/>
      <c r="J314" s="1"/>
      <c r="K314" s="1"/>
      <c r="L314" s="41">
        <f>L315+L317+L319+L321+L323</f>
        <v>175459.49799999999</v>
      </c>
      <c r="M314" s="41">
        <f>M315+M317+M319+M321+M323</f>
        <v>64894.981389999994</v>
      </c>
      <c r="N314" s="46">
        <f t="shared" si="20"/>
        <v>36.985732963854709</v>
      </c>
    </row>
    <row r="315" spans="1:14" ht="46.8" outlineLevel="6">
      <c r="A315" s="2" t="s">
        <v>290</v>
      </c>
      <c r="B315" s="1" t="s">
        <v>169</v>
      </c>
      <c r="C315" s="1" t="s">
        <v>46</v>
      </c>
      <c r="D315" s="1" t="s">
        <v>93</v>
      </c>
      <c r="E315" s="1" t="s">
        <v>291</v>
      </c>
      <c r="F315" s="1" t="s">
        <v>16</v>
      </c>
      <c r="G315" s="1"/>
      <c r="H315" s="1"/>
      <c r="I315" s="1"/>
      <c r="J315" s="1"/>
      <c r="K315" s="1"/>
      <c r="L315" s="41">
        <f>L316</f>
        <v>54354</v>
      </c>
      <c r="M315" s="41">
        <f>M316</f>
        <v>53586.732309999999</v>
      </c>
      <c r="N315" s="46">
        <f t="shared" si="20"/>
        <v>98.588387809544827</v>
      </c>
    </row>
    <row r="316" spans="1:14" ht="62.4" outlineLevel="7">
      <c r="A316" s="2" t="s">
        <v>90</v>
      </c>
      <c r="B316" s="1" t="s">
        <v>169</v>
      </c>
      <c r="C316" s="1" t="s">
        <v>46</v>
      </c>
      <c r="D316" s="1" t="s">
        <v>93</v>
      </c>
      <c r="E316" s="1" t="s">
        <v>291</v>
      </c>
      <c r="F316" s="1" t="s">
        <v>91</v>
      </c>
      <c r="G316" s="1"/>
      <c r="H316" s="1"/>
      <c r="I316" s="1"/>
      <c r="J316" s="1"/>
      <c r="K316" s="1"/>
      <c r="L316" s="41">
        <f>44044.9-1800+14500-4997+2606.1</f>
        <v>54354</v>
      </c>
      <c r="M316" s="44">
        <v>53586.732309999999</v>
      </c>
      <c r="N316" s="46">
        <f t="shared" si="20"/>
        <v>98.588387809544827</v>
      </c>
    </row>
    <row r="317" spans="1:14" ht="31.2" outlineLevel="6">
      <c r="A317" s="2" t="s">
        <v>292</v>
      </c>
      <c r="B317" s="1" t="s">
        <v>169</v>
      </c>
      <c r="C317" s="1" t="s">
        <v>46</v>
      </c>
      <c r="D317" s="1" t="s">
        <v>93</v>
      </c>
      <c r="E317" s="1" t="s">
        <v>293</v>
      </c>
      <c r="F317" s="1" t="s">
        <v>16</v>
      </c>
      <c r="G317" s="1"/>
      <c r="H317" s="1"/>
      <c r="I317" s="1"/>
      <c r="J317" s="1"/>
      <c r="K317" s="1"/>
      <c r="L317" s="41">
        <f>L318</f>
        <v>317.29899999999998</v>
      </c>
      <c r="M317" s="41">
        <f>M318</f>
        <v>317.27893999999998</v>
      </c>
      <c r="N317" s="46">
        <f t="shared" si="20"/>
        <v>99.993677887418485</v>
      </c>
    </row>
    <row r="318" spans="1:14" ht="46.8" outlineLevel="7">
      <c r="A318" s="2" t="s">
        <v>41</v>
      </c>
      <c r="B318" s="1" t="s">
        <v>169</v>
      </c>
      <c r="C318" s="1" t="s">
        <v>46</v>
      </c>
      <c r="D318" s="1" t="s">
        <v>93</v>
      </c>
      <c r="E318" s="1" t="s">
        <v>293</v>
      </c>
      <c r="F318" s="1" t="s">
        <v>42</v>
      </c>
      <c r="G318" s="1"/>
      <c r="H318" s="1"/>
      <c r="I318" s="1"/>
      <c r="J318" s="1"/>
      <c r="K318" s="1"/>
      <c r="L318" s="41">
        <f>550-200-32.701</f>
        <v>317.29899999999998</v>
      </c>
      <c r="M318" s="41">
        <v>317.27893999999998</v>
      </c>
      <c r="N318" s="46">
        <f t="shared" si="20"/>
        <v>99.993677887418485</v>
      </c>
    </row>
    <row r="319" spans="1:14" ht="31.2" outlineLevel="6">
      <c r="A319" s="2" t="s">
        <v>294</v>
      </c>
      <c r="B319" s="1" t="s">
        <v>169</v>
      </c>
      <c r="C319" s="1" t="s">
        <v>46</v>
      </c>
      <c r="D319" s="1" t="s">
        <v>93</v>
      </c>
      <c r="E319" s="1" t="s">
        <v>295</v>
      </c>
      <c r="F319" s="1" t="s">
        <v>16</v>
      </c>
      <c r="G319" s="1"/>
      <c r="H319" s="1"/>
      <c r="I319" s="1"/>
      <c r="J319" s="1"/>
      <c r="K319" s="1"/>
      <c r="L319" s="41">
        <f>L320</f>
        <v>1993.63</v>
      </c>
      <c r="M319" s="41">
        <f>M320</f>
        <v>1993.62066</v>
      </c>
      <c r="N319" s="46">
        <f t="shared" si="20"/>
        <v>99.999531507852495</v>
      </c>
    </row>
    <row r="320" spans="1:14" ht="46.8" outlineLevel="7">
      <c r="A320" s="2" t="s">
        <v>41</v>
      </c>
      <c r="B320" s="1" t="s">
        <v>169</v>
      </c>
      <c r="C320" s="1" t="s">
        <v>46</v>
      </c>
      <c r="D320" s="1" t="s">
        <v>93</v>
      </c>
      <c r="E320" s="1" t="s">
        <v>295</v>
      </c>
      <c r="F320" s="1" t="s">
        <v>42</v>
      </c>
      <c r="G320" s="1"/>
      <c r="H320" s="1"/>
      <c r="I320" s="1"/>
      <c r="J320" s="1"/>
      <c r="K320" s="1"/>
      <c r="L320" s="41">
        <f>1900+93.63</f>
        <v>1993.63</v>
      </c>
      <c r="M320" s="41">
        <v>1993.62066</v>
      </c>
      <c r="N320" s="46">
        <f t="shared" si="20"/>
        <v>99.999531507852495</v>
      </c>
    </row>
    <row r="321" spans="1:14" ht="31.2" outlineLevel="6">
      <c r="A321" s="2" t="s">
        <v>296</v>
      </c>
      <c r="B321" s="1" t="s">
        <v>169</v>
      </c>
      <c r="C321" s="1" t="s">
        <v>46</v>
      </c>
      <c r="D321" s="1" t="s">
        <v>93</v>
      </c>
      <c r="E321" s="1" t="s">
        <v>297</v>
      </c>
      <c r="F321" s="1" t="s">
        <v>16</v>
      </c>
      <c r="G321" s="1"/>
      <c r="H321" s="1"/>
      <c r="I321" s="1"/>
      <c r="J321" s="1"/>
      <c r="K321" s="1"/>
      <c r="L321" s="41">
        <f>L322</f>
        <v>5659.5329999999994</v>
      </c>
      <c r="M321" s="41">
        <f>M322</f>
        <v>5562.3134799999998</v>
      </c>
      <c r="N321" s="46">
        <f t="shared" si="20"/>
        <v>98.282198902276932</v>
      </c>
    </row>
    <row r="322" spans="1:14" ht="46.8" outlineLevel="7">
      <c r="A322" s="2" t="s">
        <v>41</v>
      </c>
      <c r="B322" s="1" t="s">
        <v>169</v>
      </c>
      <c r="C322" s="1" t="s">
        <v>46</v>
      </c>
      <c r="D322" s="1" t="s">
        <v>93</v>
      </c>
      <c r="E322" s="1" t="s">
        <v>297</v>
      </c>
      <c r="F322" s="1" t="s">
        <v>42</v>
      </c>
      <c r="G322" s="1"/>
      <c r="H322" s="1"/>
      <c r="I322" s="1"/>
      <c r="J322" s="1"/>
      <c r="K322" s="1"/>
      <c r="L322" s="41">
        <f>1039.66+250+3435.036-3435.036+4997-300-327.127</f>
        <v>5659.5329999999994</v>
      </c>
      <c r="M322" s="44">
        <v>5562.3134799999998</v>
      </c>
      <c r="N322" s="46">
        <f t="shared" si="20"/>
        <v>98.282198902276932</v>
      </c>
    </row>
    <row r="323" spans="1:14" ht="31.2" outlineLevel="7">
      <c r="A323" s="2" t="s">
        <v>663</v>
      </c>
      <c r="B323" s="1" t="s">
        <v>169</v>
      </c>
      <c r="C323" s="1" t="s">
        <v>46</v>
      </c>
      <c r="D323" s="1" t="s">
        <v>93</v>
      </c>
      <c r="E323" s="1" t="s">
        <v>662</v>
      </c>
      <c r="F323" s="1" t="s">
        <v>16</v>
      </c>
      <c r="G323" s="1"/>
      <c r="H323" s="1"/>
      <c r="I323" s="1"/>
      <c r="J323" s="1"/>
      <c r="K323" s="1"/>
      <c r="L323" s="41">
        <f>L324</f>
        <v>113135.03599999999</v>
      </c>
      <c r="M323" s="41">
        <f>M324</f>
        <v>3435.0360000000001</v>
      </c>
      <c r="N323" s="46">
        <f t="shared" si="20"/>
        <v>3.0362265496605314</v>
      </c>
    </row>
    <row r="324" spans="1:14" ht="46.8" outlineLevel="7">
      <c r="A324" s="2" t="s">
        <v>41</v>
      </c>
      <c r="B324" s="1" t="s">
        <v>169</v>
      </c>
      <c r="C324" s="1" t="s">
        <v>46</v>
      </c>
      <c r="D324" s="1" t="s">
        <v>93</v>
      </c>
      <c r="E324" s="1" t="s">
        <v>662</v>
      </c>
      <c r="F324" s="1" t="s">
        <v>42</v>
      </c>
      <c r="G324" s="1"/>
      <c r="H324" s="1"/>
      <c r="I324" s="1"/>
      <c r="J324" s="1"/>
      <c r="K324" s="1"/>
      <c r="L324" s="41">
        <f>3435.036+109700</f>
        <v>113135.03599999999</v>
      </c>
      <c r="M324" s="44">
        <v>3435.0360000000001</v>
      </c>
      <c r="N324" s="46">
        <f t="shared" si="20"/>
        <v>3.0362265496605314</v>
      </c>
    </row>
    <row r="325" spans="1:14" ht="46.8" outlineLevel="5">
      <c r="A325" s="2" t="s">
        <v>298</v>
      </c>
      <c r="B325" s="1" t="s">
        <v>169</v>
      </c>
      <c r="C325" s="1" t="s">
        <v>46</v>
      </c>
      <c r="D325" s="1" t="s">
        <v>93</v>
      </c>
      <c r="E325" s="1" t="s">
        <v>299</v>
      </c>
      <c r="F325" s="1" t="s">
        <v>16</v>
      </c>
      <c r="G325" s="1"/>
      <c r="H325" s="1"/>
      <c r="I325" s="1"/>
      <c r="J325" s="1"/>
      <c r="K325" s="1"/>
      <c r="L325" s="41">
        <f>L326+L329</f>
        <v>19291.316999999999</v>
      </c>
      <c r="M325" s="41">
        <f>M326+M329</f>
        <v>19283.563159999998</v>
      </c>
      <c r="N325" s="46">
        <f t="shared" si="20"/>
        <v>99.959806580338707</v>
      </c>
    </row>
    <row r="326" spans="1:14" ht="15.6" outlineLevel="6">
      <c r="A326" s="2" t="s">
        <v>300</v>
      </c>
      <c r="B326" s="1" t="s">
        <v>169</v>
      </c>
      <c r="C326" s="1" t="s">
        <v>46</v>
      </c>
      <c r="D326" s="1" t="s">
        <v>93</v>
      </c>
      <c r="E326" s="1" t="s">
        <v>301</v>
      </c>
      <c r="F326" s="1" t="s">
        <v>16</v>
      </c>
      <c r="G326" s="1"/>
      <c r="H326" s="1"/>
      <c r="I326" s="1"/>
      <c r="J326" s="1"/>
      <c r="K326" s="1"/>
      <c r="L326" s="41">
        <f>L327+L328</f>
        <v>11848.700999999999</v>
      </c>
      <c r="M326" s="41">
        <f>M327+M328</f>
        <v>11840.94716</v>
      </c>
      <c r="N326" s="46">
        <f t="shared" si="20"/>
        <v>99.934559577459169</v>
      </c>
    </row>
    <row r="327" spans="1:14" ht="46.8" outlineLevel="7">
      <c r="A327" s="2" t="s">
        <v>41</v>
      </c>
      <c r="B327" s="1" t="s">
        <v>169</v>
      </c>
      <c r="C327" s="1" t="s">
        <v>46</v>
      </c>
      <c r="D327" s="1" t="s">
        <v>93</v>
      </c>
      <c r="E327" s="1" t="s">
        <v>301</v>
      </c>
      <c r="F327" s="1" t="s">
        <v>42</v>
      </c>
      <c r="G327" s="1"/>
      <c r="H327" s="1"/>
      <c r="I327" s="1"/>
      <c r="J327" s="1"/>
      <c r="K327" s="1"/>
      <c r="L327" s="41">
        <f>15030+72.96-3388.68-298.28+300+95.1-8.8-30.3</f>
        <v>11772</v>
      </c>
      <c r="M327" s="44">
        <v>11764.246789999999</v>
      </c>
      <c r="N327" s="46">
        <f t="shared" si="20"/>
        <v>99.934138549099544</v>
      </c>
    </row>
    <row r="328" spans="1:14" ht="15.6" outlineLevel="7">
      <c r="A328" s="2" t="s">
        <v>59</v>
      </c>
      <c r="B328" s="1" t="s">
        <v>169</v>
      </c>
      <c r="C328" s="1" t="s">
        <v>46</v>
      </c>
      <c r="D328" s="1" t="s">
        <v>93</v>
      </c>
      <c r="E328" s="1" t="s">
        <v>301</v>
      </c>
      <c r="F328" s="1" t="s">
        <v>60</v>
      </c>
      <c r="G328" s="1"/>
      <c r="H328" s="1"/>
      <c r="I328" s="1"/>
      <c r="J328" s="1"/>
      <c r="K328" s="1"/>
      <c r="L328" s="41">
        <f>4.9+8.8+63.001</f>
        <v>76.700999999999993</v>
      </c>
      <c r="M328" s="41">
        <v>76.700370000000007</v>
      </c>
      <c r="N328" s="46">
        <f t="shared" si="20"/>
        <v>99.999178628701074</v>
      </c>
    </row>
    <row r="329" spans="1:14" ht="31.2" outlineLevel="7">
      <c r="A329" s="2" t="s">
        <v>673</v>
      </c>
      <c r="B329" s="1" t="s">
        <v>169</v>
      </c>
      <c r="C329" s="1" t="s">
        <v>46</v>
      </c>
      <c r="D329" s="1" t="s">
        <v>93</v>
      </c>
      <c r="E329" s="1" t="s">
        <v>674</v>
      </c>
      <c r="F329" s="1" t="s">
        <v>16</v>
      </c>
      <c r="G329" s="1"/>
      <c r="H329" s="1"/>
      <c r="I329" s="1"/>
      <c r="J329" s="1"/>
      <c r="K329" s="1"/>
      <c r="L329" s="41">
        <f>L330</f>
        <v>7442.616</v>
      </c>
      <c r="M329" s="41">
        <f>M330</f>
        <v>7442.616</v>
      </c>
      <c r="N329" s="46">
        <f t="shared" si="20"/>
        <v>100</v>
      </c>
    </row>
    <row r="330" spans="1:14" ht="15.6" outlineLevel="7">
      <c r="A330" s="2" t="s">
        <v>59</v>
      </c>
      <c r="B330" s="1" t="s">
        <v>169</v>
      </c>
      <c r="C330" s="1" t="s">
        <v>46</v>
      </c>
      <c r="D330" s="1" t="s">
        <v>93</v>
      </c>
      <c r="E330" s="1" t="s">
        <v>674</v>
      </c>
      <c r="F330" s="1" t="s">
        <v>60</v>
      </c>
      <c r="G330" s="1"/>
      <c r="H330" s="1"/>
      <c r="I330" s="1"/>
      <c r="J330" s="1"/>
      <c r="K330" s="1"/>
      <c r="L330" s="41">
        <f>3686.96+327.127+3428.529</f>
        <v>7442.616</v>
      </c>
      <c r="M330" s="41">
        <f>3686.96+327.127+3428.529</f>
        <v>7442.616</v>
      </c>
      <c r="N330" s="46">
        <f t="shared" si="20"/>
        <v>100</v>
      </c>
    </row>
    <row r="331" spans="1:14" ht="31.2" outlineLevel="2">
      <c r="A331" s="5" t="s">
        <v>302</v>
      </c>
      <c r="B331" s="6" t="s">
        <v>169</v>
      </c>
      <c r="C331" s="6" t="s">
        <v>46</v>
      </c>
      <c r="D331" s="6" t="s">
        <v>46</v>
      </c>
      <c r="E331" s="6"/>
      <c r="F331" s="6"/>
      <c r="G331" s="6"/>
      <c r="H331" s="6"/>
      <c r="I331" s="6"/>
      <c r="J331" s="6"/>
      <c r="K331" s="6"/>
      <c r="L331" s="40">
        <f>L332</f>
        <v>17053.345000000001</v>
      </c>
      <c r="M331" s="40">
        <f>M332</f>
        <v>15858.760059999999</v>
      </c>
      <c r="N331" s="47">
        <f t="shared" si="20"/>
        <v>92.995011008104257</v>
      </c>
    </row>
    <row r="332" spans="1:14" ht="46.8" outlineLevel="3">
      <c r="A332" s="2" t="s">
        <v>286</v>
      </c>
      <c r="B332" s="1" t="s">
        <v>169</v>
      </c>
      <c r="C332" s="1" t="s">
        <v>46</v>
      </c>
      <c r="D332" s="1" t="s">
        <v>46</v>
      </c>
      <c r="E332" s="1" t="s">
        <v>287</v>
      </c>
      <c r="F332" s="1" t="s">
        <v>16</v>
      </c>
      <c r="G332" s="1"/>
      <c r="H332" s="1"/>
      <c r="I332" s="1"/>
      <c r="J332" s="1"/>
      <c r="K332" s="1"/>
      <c r="L332" s="41">
        <f>L333</f>
        <v>17053.345000000001</v>
      </c>
      <c r="M332" s="41">
        <f>M333</f>
        <v>15858.760059999999</v>
      </c>
      <c r="N332" s="46">
        <f t="shared" si="20"/>
        <v>92.995011008104257</v>
      </c>
    </row>
    <row r="333" spans="1:14" ht="46.8" outlineLevel="5">
      <c r="A333" s="2" t="s">
        <v>69</v>
      </c>
      <c r="B333" s="1" t="s">
        <v>169</v>
      </c>
      <c r="C333" s="1" t="s">
        <v>46</v>
      </c>
      <c r="D333" s="1" t="s">
        <v>46</v>
      </c>
      <c r="E333" s="1" t="s">
        <v>303</v>
      </c>
      <c r="F333" s="1" t="s">
        <v>16</v>
      </c>
      <c r="G333" s="1"/>
      <c r="H333" s="1"/>
      <c r="I333" s="1"/>
      <c r="J333" s="1"/>
      <c r="K333" s="1"/>
      <c r="L333" s="41">
        <f>L334+L336+L338+L340+L344</f>
        <v>17053.345000000001</v>
      </c>
      <c r="M333" s="41">
        <f>M334+M336+M338+M340+M344</f>
        <v>15858.760059999999</v>
      </c>
      <c r="N333" s="46">
        <f t="shared" si="20"/>
        <v>92.995011008104257</v>
      </c>
    </row>
    <row r="334" spans="1:14" ht="31.2" outlineLevel="6">
      <c r="A334" s="2" t="s">
        <v>33</v>
      </c>
      <c r="B334" s="1" t="s">
        <v>169</v>
      </c>
      <c r="C334" s="1" t="s">
        <v>46</v>
      </c>
      <c r="D334" s="1" t="s">
        <v>46</v>
      </c>
      <c r="E334" s="1" t="s">
        <v>304</v>
      </c>
      <c r="F334" s="1" t="s">
        <v>16</v>
      </c>
      <c r="G334" s="1"/>
      <c r="H334" s="1"/>
      <c r="I334" s="1"/>
      <c r="J334" s="1"/>
      <c r="K334" s="1"/>
      <c r="L334" s="41">
        <f>L335</f>
        <v>5726.8249999999998</v>
      </c>
      <c r="M334" s="41">
        <f>M335</f>
        <v>4913.8981299999996</v>
      </c>
      <c r="N334" s="46">
        <f t="shared" si="20"/>
        <v>85.804929083741854</v>
      </c>
    </row>
    <row r="335" spans="1:14" ht="109.2" outlineLevel="7">
      <c r="A335" s="2" t="s">
        <v>29</v>
      </c>
      <c r="B335" s="1" t="s">
        <v>169</v>
      </c>
      <c r="C335" s="1" t="s">
        <v>46</v>
      </c>
      <c r="D335" s="1" t="s">
        <v>46</v>
      </c>
      <c r="E335" s="1" t="s">
        <v>304</v>
      </c>
      <c r="F335" s="1" t="s">
        <v>30</v>
      </c>
      <c r="G335" s="1"/>
      <c r="H335" s="1"/>
      <c r="I335" s="1"/>
      <c r="J335" s="1"/>
      <c r="K335" s="1"/>
      <c r="L335" s="41">
        <f>6563.2-55-87-7-496.275-5.5-5-180.6</f>
        <v>5726.8249999999998</v>
      </c>
      <c r="M335" s="44">
        <v>4913.8981299999996</v>
      </c>
      <c r="N335" s="46">
        <f t="shared" si="20"/>
        <v>85.804929083741854</v>
      </c>
    </row>
    <row r="336" spans="1:14" ht="31.2" outlineLevel="6">
      <c r="A336" s="2" t="s">
        <v>35</v>
      </c>
      <c r="B336" s="1" t="s">
        <v>169</v>
      </c>
      <c r="C336" s="1" t="s">
        <v>46</v>
      </c>
      <c r="D336" s="1" t="s">
        <v>46</v>
      </c>
      <c r="E336" s="1" t="s">
        <v>305</v>
      </c>
      <c r="F336" s="1" t="s">
        <v>16</v>
      </c>
      <c r="G336" s="1"/>
      <c r="H336" s="1"/>
      <c r="I336" s="1"/>
      <c r="J336" s="1"/>
      <c r="K336" s="1"/>
      <c r="L336" s="41">
        <f>L337</f>
        <v>206.3</v>
      </c>
      <c r="M336" s="41">
        <f>M337</f>
        <v>204.67148</v>
      </c>
      <c r="N336" s="46">
        <f t="shared" si="20"/>
        <v>99.210605913717885</v>
      </c>
    </row>
    <row r="337" spans="1:14" ht="46.8" outlineLevel="7">
      <c r="A337" s="2" t="s">
        <v>41</v>
      </c>
      <c r="B337" s="1" t="s">
        <v>169</v>
      </c>
      <c r="C337" s="1" t="s">
        <v>46</v>
      </c>
      <c r="D337" s="1" t="s">
        <v>46</v>
      </c>
      <c r="E337" s="1" t="s">
        <v>305</v>
      </c>
      <c r="F337" s="1" t="s">
        <v>42</v>
      </c>
      <c r="G337" s="1"/>
      <c r="H337" s="1"/>
      <c r="I337" s="1"/>
      <c r="J337" s="1"/>
      <c r="K337" s="1"/>
      <c r="L337" s="41">
        <f>46.8+55+87+7+5.5+5</f>
        <v>206.3</v>
      </c>
      <c r="M337" s="44">
        <v>204.67148</v>
      </c>
      <c r="N337" s="46">
        <f t="shared" si="20"/>
        <v>99.210605913717885</v>
      </c>
    </row>
    <row r="338" spans="1:14" ht="31.2" outlineLevel="6">
      <c r="A338" s="2" t="s">
        <v>306</v>
      </c>
      <c r="B338" s="1" t="s">
        <v>169</v>
      </c>
      <c r="C338" s="1" t="s">
        <v>46</v>
      </c>
      <c r="D338" s="1" t="s">
        <v>46</v>
      </c>
      <c r="E338" s="1" t="s">
        <v>307</v>
      </c>
      <c r="F338" s="1" t="s">
        <v>16</v>
      </c>
      <c r="G338" s="1"/>
      <c r="H338" s="1"/>
      <c r="I338" s="1"/>
      <c r="J338" s="1"/>
      <c r="K338" s="1"/>
      <c r="L338" s="41">
        <f>L339</f>
        <v>805</v>
      </c>
      <c r="M338" s="41">
        <f>M339</f>
        <v>804.93299999999999</v>
      </c>
      <c r="N338" s="46">
        <f t="shared" si="20"/>
        <v>99.991677018633538</v>
      </c>
    </row>
    <row r="339" spans="1:14" ht="15.6" outlineLevel="7">
      <c r="A339" s="2" t="s">
        <v>59</v>
      </c>
      <c r="B339" s="1" t="s">
        <v>169</v>
      </c>
      <c r="C339" s="1" t="s">
        <v>46</v>
      </c>
      <c r="D339" s="1" t="s">
        <v>46</v>
      </c>
      <c r="E339" s="1" t="s">
        <v>307</v>
      </c>
      <c r="F339" s="1" t="s">
        <v>60</v>
      </c>
      <c r="G339" s="1"/>
      <c r="H339" s="1"/>
      <c r="I339" s="1"/>
      <c r="J339" s="1"/>
      <c r="K339" s="1"/>
      <c r="L339" s="41">
        <f>1165-360</f>
        <v>805</v>
      </c>
      <c r="M339" s="44">
        <v>804.93299999999999</v>
      </c>
      <c r="N339" s="46">
        <f t="shared" si="20"/>
        <v>99.991677018633538</v>
      </c>
    </row>
    <row r="340" spans="1:14" ht="46.8" outlineLevel="6">
      <c r="A340" s="2" t="s">
        <v>308</v>
      </c>
      <c r="B340" s="1" t="s">
        <v>169</v>
      </c>
      <c r="C340" s="1" t="s">
        <v>46</v>
      </c>
      <c r="D340" s="1" t="s">
        <v>46</v>
      </c>
      <c r="E340" s="1" t="s">
        <v>309</v>
      </c>
      <c r="F340" s="1" t="s">
        <v>16</v>
      </c>
      <c r="G340" s="1"/>
      <c r="H340" s="1"/>
      <c r="I340" s="1"/>
      <c r="J340" s="1"/>
      <c r="K340" s="1"/>
      <c r="L340" s="41">
        <f>L341+L342+L343</f>
        <v>7252.82</v>
      </c>
      <c r="M340" s="41">
        <f>M341+M342+M343</f>
        <v>6902.6976000000004</v>
      </c>
      <c r="N340" s="46">
        <f t="shared" si="20"/>
        <v>95.172603208131463</v>
      </c>
    </row>
    <row r="341" spans="1:14" ht="109.2" outlineLevel="7">
      <c r="A341" s="2" t="s">
        <v>29</v>
      </c>
      <c r="B341" s="1" t="s">
        <v>169</v>
      </c>
      <c r="C341" s="1" t="s">
        <v>46</v>
      </c>
      <c r="D341" s="1" t="s">
        <v>46</v>
      </c>
      <c r="E341" s="1" t="s">
        <v>309</v>
      </c>
      <c r="F341" s="1" t="s">
        <v>30</v>
      </c>
      <c r="G341" s="1"/>
      <c r="H341" s="1"/>
      <c r="I341" s="1"/>
      <c r="J341" s="1"/>
      <c r="K341" s="1"/>
      <c r="L341" s="41">
        <f>6481.3-12-180</f>
        <v>6289.3</v>
      </c>
      <c r="M341" s="44">
        <v>6022.2376700000004</v>
      </c>
      <c r="N341" s="46">
        <f t="shared" si="20"/>
        <v>95.753703432814461</v>
      </c>
    </row>
    <row r="342" spans="1:14" ht="46.8" outlineLevel="7">
      <c r="A342" s="2" t="s">
        <v>41</v>
      </c>
      <c r="B342" s="1" t="s">
        <v>169</v>
      </c>
      <c r="C342" s="1" t="s">
        <v>46</v>
      </c>
      <c r="D342" s="1" t="s">
        <v>46</v>
      </c>
      <c r="E342" s="1" t="s">
        <v>309</v>
      </c>
      <c r="F342" s="1" t="s">
        <v>42</v>
      </c>
      <c r="G342" s="1"/>
      <c r="H342" s="1"/>
      <c r="I342" s="1"/>
      <c r="J342" s="1"/>
      <c r="K342" s="1"/>
      <c r="L342" s="41">
        <f>686.66-0.135</f>
        <v>686.52499999999998</v>
      </c>
      <c r="M342" s="44">
        <v>605.56393000000003</v>
      </c>
      <c r="N342" s="46">
        <f t="shared" si="20"/>
        <v>88.207119915516557</v>
      </c>
    </row>
    <row r="343" spans="1:14" ht="15.6" outlineLevel="7">
      <c r="A343" s="2" t="s">
        <v>59</v>
      </c>
      <c r="B343" s="1" t="s">
        <v>169</v>
      </c>
      <c r="C343" s="1" t="s">
        <v>46</v>
      </c>
      <c r="D343" s="1" t="s">
        <v>46</v>
      </c>
      <c r="E343" s="1" t="s">
        <v>309</v>
      </c>
      <c r="F343" s="1" t="s">
        <v>60</v>
      </c>
      <c r="G343" s="1"/>
      <c r="H343" s="1"/>
      <c r="I343" s="1"/>
      <c r="J343" s="1"/>
      <c r="K343" s="1"/>
      <c r="L343" s="41">
        <f>84.86+12.135+180</f>
        <v>276.995</v>
      </c>
      <c r="M343" s="44">
        <v>274.89600000000002</v>
      </c>
      <c r="N343" s="46">
        <f t="shared" si="20"/>
        <v>99.242224588891503</v>
      </c>
    </row>
    <row r="344" spans="1:14" ht="31.2" outlineLevel="6">
      <c r="A344" s="2" t="s">
        <v>61</v>
      </c>
      <c r="B344" s="1" t="s">
        <v>169</v>
      </c>
      <c r="C344" s="1" t="s">
        <v>46</v>
      </c>
      <c r="D344" s="1" t="s">
        <v>46</v>
      </c>
      <c r="E344" s="1" t="s">
        <v>310</v>
      </c>
      <c r="F344" s="1" t="s">
        <v>16</v>
      </c>
      <c r="G344" s="1"/>
      <c r="H344" s="1"/>
      <c r="I344" s="1"/>
      <c r="J344" s="1"/>
      <c r="K344" s="1"/>
      <c r="L344" s="41">
        <f>L345+L346</f>
        <v>3062.3999999999996</v>
      </c>
      <c r="M344" s="41">
        <f>M345+M346</f>
        <v>3032.5598500000001</v>
      </c>
      <c r="N344" s="46">
        <f t="shared" si="20"/>
        <v>99.025595937826566</v>
      </c>
    </row>
    <row r="345" spans="1:14" ht="109.2" outlineLevel="7">
      <c r="A345" s="2" t="s">
        <v>29</v>
      </c>
      <c r="B345" s="1" t="s">
        <v>169</v>
      </c>
      <c r="C345" s="1" t="s">
        <v>46</v>
      </c>
      <c r="D345" s="1" t="s">
        <v>46</v>
      </c>
      <c r="E345" s="1" t="s">
        <v>310</v>
      </c>
      <c r="F345" s="1" t="s">
        <v>30</v>
      </c>
      <c r="G345" s="1"/>
      <c r="H345" s="1"/>
      <c r="I345" s="1"/>
      <c r="J345" s="1"/>
      <c r="K345" s="1"/>
      <c r="L345" s="41">
        <f>2405.2+180.6</f>
        <v>2585.7999999999997</v>
      </c>
      <c r="M345" s="44">
        <v>2570.8638599999999</v>
      </c>
      <c r="N345" s="46">
        <f t="shared" si="20"/>
        <v>99.42237837419755</v>
      </c>
    </row>
    <row r="346" spans="1:14" ht="46.8" outlineLevel="7">
      <c r="A346" s="2" t="s">
        <v>41</v>
      </c>
      <c r="B346" s="1" t="s">
        <v>169</v>
      </c>
      <c r="C346" s="1" t="s">
        <v>46</v>
      </c>
      <c r="D346" s="1" t="s">
        <v>46</v>
      </c>
      <c r="E346" s="1" t="s">
        <v>310</v>
      </c>
      <c r="F346" s="1" t="s">
        <v>42</v>
      </c>
      <c r="G346" s="1"/>
      <c r="H346" s="1"/>
      <c r="I346" s="1"/>
      <c r="J346" s="1"/>
      <c r="K346" s="1"/>
      <c r="L346" s="41">
        <v>476.6</v>
      </c>
      <c r="M346" s="44">
        <v>461.69598999999999</v>
      </c>
      <c r="N346" s="46">
        <f t="shared" si="20"/>
        <v>96.872847251363822</v>
      </c>
    </row>
    <row r="347" spans="1:14" ht="15.6" outlineLevel="1">
      <c r="A347" s="3" t="s">
        <v>114</v>
      </c>
      <c r="B347" s="4" t="s">
        <v>169</v>
      </c>
      <c r="C347" s="4" t="s">
        <v>115</v>
      </c>
      <c r="D347" s="4"/>
      <c r="E347" s="4"/>
      <c r="F347" s="4"/>
      <c r="G347" s="4"/>
      <c r="H347" s="4"/>
      <c r="I347" s="4"/>
      <c r="J347" s="4"/>
      <c r="K347" s="4"/>
      <c r="L347" s="39">
        <f t="shared" ref="L347:M349" si="22">L348</f>
        <v>19247.964</v>
      </c>
      <c r="M347" s="39">
        <f t="shared" si="22"/>
        <v>18578.256000000001</v>
      </c>
      <c r="N347" s="49">
        <f t="shared" si="20"/>
        <v>96.52062940267345</v>
      </c>
    </row>
    <row r="348" spans="1:14" ht="15.6" outlineLevel="2">
      <c r="A348" s="5" t="s">
        <v>121</v>
      </c>
      <c r="B348" s="6" t="s">
        <v>169</v>
      </c>
      <c r="C348" s="6" t="s">
        <v>115</v>
      </c>
      <c r="D348" s="6" t="s">
        <v>93</v>
      </c>
      <c r="E348" s="6"/>
      <c r="F348" s="6"/>
      <c r="G348" s="6"/>
      <c r="H348" s="6"/>
      <c r="I348" s="6"/>
      <c r="J348" s="6"/>
      <c r="K348" s="6"/>
      <c r="L348" s="40">
        <f t="shared" si="22"/>
        <v>19247.964</v>
      </c>
      <c r="M348" s="40">
        <f t="shared" si="22"/>
        <v>18578.256000000001</v>
      </c>
      <c r="N348" s="47">
        <f t="shared" si="20"/>
        <v>96.52062940267345</v>
      </c>
    </row>
    <row r="349" spans="1:14" ht="78" outlineLevel="3">
      <c r="A349" s="2" t="s">
        <v>172</v>
      </c>
      <c r="B349" s="1" t="s">
        <v>169</v>
      </c>
      <c r="C349" s="1" t="s">
        <v>115</v>
      </c>
      <c r="D349" s="1" t="s">
        <v>93</v>
      </c>
      <c r="E349" s="1" t="s">
        <v>173</v>
      </c>
      <c r="F349" s="1" t="s">
        <v>16</v>
      </c>
      <c r="G349" s="1"/>
      <c r="H349" s="1"/>
      <c r="I349" s="1"/>
      <c r="J349" s="1"/>
      <c r="K349" s="1"/>
      <c r="L349" s="41">
        <f t="shared" si="22"/>
        <v>19247.964</v>
      </c>
      <c r="M349" s="41">
        <f t="shared" si="22"/>
        <v>18578.256000000001</v>
      </c>
      <c r="N349" s="46">
        <f t="shared" si="20"/>
        <v>96.52062940267345</v>
      </c>
    </row>
    <row r="350" spans="1:14" ht="62.4" outlineLevel="5">
      <c r="A350" s="2" t="s">
        <v>207</v>
      </c>
      <c r="B350" s="1" t="s">
        <v>169</v>
      </c>
      <c r="C350" s="1" t="s">
        <v>115</v>
      </c>
      <c r="D350" s="1" t="s">
        <v>93</v>
      </c>
      <c r="E350" s="1" t="s">
        <v>208</v>
      </c>
      <c r="F350" s="1" t="s">
        <v>16</v>
      </c>
      <c r="G350" s="1"/>
      <c r="H350" s="1"/>
      <c r="I350" s="1"/>
      <c r="J350" s="1"/>
      <c r="K350" s="1"/>
      <c r="L350" s="41">
        <f>L351+L353+L355+L357</f>
        <v>19247.964</v>
      </c>
      <c r="M350" s="41">
        <f>M351+M353+M355+M357</f>
        <v>18578.256000000001</v>
      </c>
      <c r="N350" s="46">
        <f t="shared" si="20"/>
        <v>96.52062940267345</v>
      </c>
    </row>
    <row r="351" spans="1:14" ht="49.5" customHeight="1" outlineLevel="6">
      <c r="A351" s="2" t="s">
        <v>311</v>
      </c>
      <c r="B351" s="1" t="s">
        <v>169</v>
      </c>
      <c r="C351" s="1" t="s">
        <v>115</v>
      </c>
      <c r="D351" s="1" t="s">
        <v>93</v>
      </c>
      <c r="E351" s="1" t="s">
        <v>312</v>
      </c>
      <c r="F351" s="1" t="s">
        <v>16</v>
      </c>
      <c r="G351" s="1"/>
      <c r="H351" s="1"/>
      <c r="I351" s="1"/>
      <c r="J351" s="1"/>
      <c r="K351" s="1"/>
      <c r="L351" s="41">
        <f>L352</f>
        <v>8013.9639999999999</v>
      </c>
      <c r="M351" s="41">
        <f>M352</f>
        <v>7545.51</v>
      </c>
      <c r="N351" s="46">
        <f t="shared" si="20"/>
        <v>94.154528270903143</v>
      </c>
    </row>
    <row r="352" spans="1:14" ht="31.2" outlineLevel="7">
      <c r="A352" s="2" t="s">
        <v>77</v>
      </c>
      <c r="B352" s="1" t="s">
        <v>169</v>
      </c>
      <c r="C352" s="1" t="s">
        <v>115</v>
      </c>
      <c r="D352" s="1" t="s">
        <v>93</v>
      </c>
      <c r="E352" s="1" t="s">
        <v>312</v>
      </c>
      <c r="F352" s="1" t="s">
        <v>78</v>
      </c>
      <c r="G352" s="1"/>
      <c r="H352" s="1"/>
      <c r="I352" s="1"/>
      <c r="J352" s="1"/>
      <c r="K352" s="1"/>
      <c r="L352" s="41">
        <f>10635-1635.036-866.5-114-5.5</f>
        <v>8013.9639999999999</v>
      </c>
      <c r="M352" s="44">
        <v>7545.51</v>
      </c>
      <c r="N352" s="46">
        <f t="shared" si="20"/>
        <v>94.154528270903143</v>
      </c>
    </row>
    <row r="353" spans="1:14" ht="93.6" outlineLevel="6">
      <c r="A353" s="2" t="s">
        <v>313</v>
      </c>
      <c r="B353" s="1" t="s">
        <v>169</v>
      </c>
      <c r="C353" s="1" t="s">
        <v>115</v>
      </c>
      <c r="D353" s="1" t="s">
        <v>93</v>
      </c>
      <c r="E353" s="1" t="s">
        <v>314</v>
      </c>
      <c r="F353" s="1" t="s">
        <v>16</v>
      </c>
      <c r="G353" s="1"/>
      <c r="H353" s="1"/>
      <c r="I353" s="1"/>
      <c r="J353" s="1"/>
      <c r="K353" s="1"/>
      <c r="L353" s="41">
        <f>L354</f>
        <v>1934</v>
      </c>
      <c r="M353" s="41">
        <f>M354</f>
        <v>1851.0450000000001</v>
      </c>
      <c r="N353" s="46">
        <f t="shared" si="20"/>
        <v>95.71070320579112</v>
      </c>
    </row>
    <row r="354" spans="1:14" ht="31.2" outlineLevel="7">
      <c r="A354" s="2" t="s">
        <v>77</v>
      </c>
      <c r="B354" s="1" t="s">
        <v>169</v>
      </c>
      <c r="C354" s="1" t="s">
        <v>115</v>
      </c>
      <c r="D354" s="1" t="s">
        <v>93</v>
      </c>
      <c r="E354" s="1" t="s">
        <v>314</v>
      </c>
      <c r="F354" s="1" t="s">
        <v>78</v>
      </c>
      <c r="G354" s="1"/>
      <c r="H354" s="1"/>
      <c r="I354" s="1"/>
      <c r="J354" s="1"/>
      <c r="K354" s="1"/>
      <c r="L354" s="41">
        <f>1200+734</f>
        <v>1934</v>
      </c>
      <c r="M354" s="44">
        <v>1851.0450000000001</v>
      </c>
      <c r="N354" s="46">
        <f t="shared" si="20"/>
        <v>95.71070320579112</v>
      </c>
    </row>
    <row r="355" spans="1:14" ht="62.4" outlineLevel="6">
      <c r="A355" s="2" t="s">
        <v>315</v>
      </c>
      <c r="B355" s="1" t="s">
        <v>169</v>
      </c>
      <c r="C355" s="1" t="s">
        <v>115</v>
      </c>
      <c r="D355" s="1" t="s">
        <v>93</v>
      </c>
      <c r="E355" s="1" t="s">
        <v>316</v>
      </c>
      <c r="F355" s="1" t="s">
        <v>16</v>
      </c>
      <c r="G355" s="1"/>
      <c r="H355" s="1"/>
      <c r="I355" s="1"/>
      <c r="J355" s="1"/>
      <c r="K355" s="1"/>
      <c r="L355" s="41">
        <f>L356</f>
        <v>8835</v>
      </c>
      <c r="M355" s="41">
        <f>M356</f>
        <v>8722.6159499999994</v>
      </c>
      <c r="N355" s="46">
        <f t="shared" si="20"/>
        <v>98.727967741935473</v>
      </c>
    </row>
    <row r="356" spans="1:14" ht="31.2" outlineLevel="7">
      <c r="A356" s="2" t="s">
        <v>77</v>
      </c>
      <c r="B356" s="1" t="s">
        <v>169</v>
      </c>
      <c r="C356" s="1" t="s">
        <v>115</v>
      </c>
      <c r="D356" s="1" t="s">
        <v>93</v>
      </c>
      <c r="E356" s="1" t="s">
        <v>316</v>
      </c>
      <c r="F356" s="1" t="s">
        <v>78</v>
      </c>
      <c r="G356" s="1"/>
      <c r="H356" s="1"/>
      <c r="I356" s="1"/>
      <c r="J356" s="1"/>
      <c r="K356" s="1"/>
      <c r="L356" s="41">
        <f>4047+4788</f>
        <v>8835</v>
      </c>
      <c r="M356" s="44">
        <v>8722.6159499999994</v>
      </c>
      <c r="N356" s="46">
        <f t="shared" si="20"/>
        <v>98.727967741935473</v>
      </c>
    </row>
    <row r="357" spans="1:14" ht="78" outlineLevel="6">
      <c r="A357" s="2" t="s">
        <v>317</v>
      </c>
      <c r="B357" s="1" t="s">
        <v>169</v>
      </c>
      <c r="C357" s="1" t="s">
        <v>115</v>
      </c>
      <c r="D357" s="1" t="s">
        <v>93</v>
      </c>
      <c r="E357" s="1" t="s">
        <v>318</v>
      </c>
      <c r="F357" s="1" t="s">
        <v>16</v>
      </c>
      <c r="G357" s="1"/>
      <c r="H357" s="1"/>
      <c r="I357" s="1"/>
      <c r="J357" s="1"/>
      <c r="K357" s="1"/>
      <c r="L357" s="41">
        <f>L358</f>
        <v>465</v>
      </c>
      <c r="M357" s="41">
        <f>M358</f>
        <v>459.08505000000002</v>
      </c>
      <c r="N357" s="46">
        <f t="shared" si="20"/>
        <v>98.727967741935487</v>
      </c>
    </row>
    <row r="358" spans="1:14" ht="31.2" outlineLevel="7">
      <c r="A358" s="2" t="s">
        <v>77</v>
      </c>
      <c r="B358" s="1" t="s">
        <v>169</v>
      </c>
      <c r="C358" s="1" t="s">
        <v>115</v>
      </c>
      <c r="D358" s="1" t="s">
        <v>93</v>
      </c>
      <c r="E358" s="1" t="s">
        <v>318</v>
      </c>
      <c r="F358" s="1" t="s">
        <v>78</v>
      </c>
      <c r="G358" s="1"/>
      <c r="H358" s="1"/>
      <c r="I358" s="1"/>
      <c r="J358" s="1"/>
      <c r="K358" s="1"/>
      <c r="L358" s="41">
        <f>213+132.5+114+5.5</f>
        <v>465</v>
      </c>
      <c r="M358" s="44">
        <v>459.08505000000002</v>
      </c>
      <c r="N358" s="46">
        <f t="shared" si="20"/>
        <v>98.727967741935487</v>
      </c>
    </row>
    <row r="359" spans="1:14" ht="62.4">
      <c r="A359" s="3" t="s">
        <v>319</v>
      </c>
      <c r="B359" s="4" t="s">
        <v>320</v>
      </c>
      <c r="C359" s="4"/>
      <c r="D359" s="4"/>
      <c r="E359" s="4"/>
      <c r="F359" s="4"/>
      <c r="G359" s="4"/>
      <c r="H359" s="4"/>
      <c r="I359" s="4"/>
      <c r="J359" s="4"/>
      <c r="K359" s="4"/>
      <c r="L359" s="39">
        <f>L360+L406</f>
        <v>118839.15102999998</v>
      </c>
      <c r="M359" s="39">
        <f>M360+M406</f>
        <v>118564.38106999999</v>
      </c>
      <c r="N359" s="49">
        <f t="shared" si="20"/>
        <v>99.768788351634527</v>
      </c>
    </row>
    <row r="360" spans="1:14" ht="31.2" outlineLevel="1">
      <c r="A360" s="3" t="s">
        <v>255</v>
      </c>
      <c r="B360" s="4" t="s">
        <v>320</v>
      </c>
      <c r="C360" s="4" t="s">
        <v>46</v>
      </c>
      <c r="D360" s="4"/>
      <c r="E360" s="4"/>
      <c r="F360" s="4"/>
      <c r="G360" s="4"/>
      <c r="H360" s="4"/>
      <c r="I360" s="4"/>
      <c r="J360" s="4"/>
      <c r="K360" s="4"/>
      <c r="L360" s="39">
        <f>L361+L394</f>
        <v>83341.566029999987</v>
      </c>
      <c r="M360" s="39">
        <f>M361+M394</f>
        <v>83066.828069999989</v>
      </c>
      <c r="N360" s="49">
        <f t="shared" si="20"/>
        <v>99.670347015196342</v>
      </c>
    </row>
    <row r="361" spans="1:14" ht="15.6" outlineLevel="2">
      <c r="A361" s="5" t="s">
        <v>256</v>
      </c>
      <c r="B361" s="6" t="s">
        <v>320</v>
      </c>
      <c r="C361" s="6" t="s">
        <v>46</v>
      </c>
      <c r="D361" s="6" t="s">
        <v>18</v>
      </c>
      <c r="E361" s="6"/>
      <c r="F361" s="6"/>
      <c r="G361" s="6"/>
      <c r="H361" s="6"/>
      <c r="I361" s="6"/>
      <c r="J361" s="6"/>
      <c r="K361" s="6"/>
      <c r="L361" s="40">
        <f>L362</f>
        <v>76541.86602999999</v>
      </c>
      <c r="M361" s="40">
        <f>M362</f>
        <v>76332.697789999991</v>
      </c>
      <c r="N361" s="47">
        <f t="shared" si="20"/>
        <v>99.726727017710786</v>
      </c>
    </row>
    <row r="362" spans="1:14" ht="46.8" outlineLevel="3">
      <c r="A362" s="2" t="s">
        <v>321</v>
      </c>
      <c r="B362" s="1" t="s">
        <v>320</v>
      </c>
      <c r="C362" s="1" t="s">
        <v>46</v>
      </c>
      <c r="D362" s="1" t="s">
        <v>18</v>
      </c>
      <c r="E362" s="1" t="s">
        <v>322</v>
      </c>
      <c r="F362" s="1" t="s">
        <v>16</v>
      </c>
      <c r="G362" s="1"/>
      <c r="H362" s="1"/>
      <c r="I362" s="1"/>
      <c r="J362" s="1"/>
      <c r="K362" s="1"/>
      <c r="L362" s="42">
        <f>L363+L384</f>
        <v>76541.86602999999</v>
      </c>
      <c r="M362" s="42">
        <f>M363+M384</f>
        <v>76332.697789999991</v>
      </c>
      <c r="N362" s="46">
        <f t="shared" si="20"/>
        <v>99.726727017710786</v>
      </c>
    </row>
    <row r="363" spans="1:14" ht="31.2" outlineLevel="4">
      <c r="A363" s="2" t="s">
        <v>323</v>
      </c>
      <c r="B363" s="1" t="s">
        <v>320</v>
      </c>
      <c r="C363" s="1" t="s">
        <v>46</v>
      </c>
      <c r="D363" s="1" t="s">
        <v>18</v>
      </c>
      <c r="E363" s="1" t="s">
        <v>324</v>
      </c>
      <c r="F363" s="1" t="s">
        <v>16</v>
      </c>
      <c r="G363" s="1"/>
      <c r="H363" s="1"/>
      <c r="I363" s="1"/>
      <c r="J363" s="1"/>
      <c r="K363" s="1"/>
      <c r="L363" s="42">
        <f>L364+L367+L370+L377+L381</f>
        <v>21517.996029999998</v>
      </c>
      <c r="M363" s="42">
        <f>M364+M367+M370+M377+M381</f>
        <v>21336.700789999999</v>
      </c>
      <c r="N363" s="46">
        <f t="shared" si="20"/>
        <v>99.157471542669484</v>
      </c>
    </row>
    <row r="364" spans="1:14" ht="93.6" outlineLevel="5">
      <c r="A364" s="2" t="s">
        <v>325</v>
      </c>
      <c r="B364" s="1" t="s">
        <v>320</v>
      </c>
      <c r="C364" s="1" t="s">
        <v>46</v>
      </c>
      <c r="D364" s="1" t="s">
        <v>18</v>
      </c>
      <c r="E364" s="1" t="s">
        <v>326</v>
      </c>
      <c r="F364" s="1" t="s">
        <v>16</v>
      </c>
      <c r="G364" s="1"/>
      <c r="H364" s="1"/>
      <c r="I364" s="1"/>
      <c r="J364" s="1"/>
      <c r="K364" s="1"/>
      <c r="L364" s="41">
        <f>L365</f>
        <v>630</v>
      </c>
      <c r="M364" s="41">
        <f>M365</f>
        <v>629.03800000000001</v>
      </c>
      <c r="N364" s="46">
        <f t="shared" si="20"/>
        <v>99.847301587301587</v>
      </c>
    </row>
    <row r="365" spans="1:14" ht="62.4" outlineLevel="6">
      <c r="A365" s="2" t="s">
        <v>327</v>
      </c>
      <c r="B365" s="1" t="s">
        <v>320</v>
      </c>
      <c r="C365" s="1" t="s">
        <v>46</v>
      </c>
      <c r="D365" s="1" t="s">
        <v>18</v>
      </c>
      <c r="E365" s="1" t="s">
        <v>328</v>
      </c>
      <c r="F365" s="1" t="s">
        <v>16</v>
      </c>
      <c r="G365" s="1"/>
      <c r="H365" s="1"/>
      <c r="I365" s="1"/>
      <c r="J365" s="1"/>
      <c r="K365" s="1"/>
      <c r="L365" s="41">
        <f>L366</f>
        <v>630</v>
      </c>
      <c r="M365" s="41">
        <f>M366</f>
        <v>629.03800000000001</v>
      </c>
      <c r="N365" s="46">
        <f t="shared" si="20"/>
        <v>99.847301587301587</v>
      </c>
    </row>
    <row r="366" spans="1:14" ht="46.8" outlineLevel="7">
      <c r="A366" s="2" t="s">
        <v>41</v>
      </c>
      <c r="B366" s="1" t="s">
        <v>320</v>
      </c>
      <c r="C366" s="1" t="s">
        <v>46</v>
      </c>
      <c r="D366" s="1" t="s">
        <v>18</v>
      </c>
      <c r="E366" s="1" t="s">
        <v>328</v>
      </c>
      <c r="F366" s="1" t="s">
        <v>42</v>
      </c>
      <c r="G366" s="1"/>
      <c r="H366" s="1"/>
      <c r="I366" s="1"/>
      <c r="J366" s="1"/>
      <c r="K366" s="1"/>
      <c r="L366" s="41">
        <f>109.4+643-122.4</f>
        <v>630</v>
      </c>
      <c r="M366" s="44">
        <v>629.03800000000001</v>
      </c>
      <c r="N366" s="46">
        <f t="shared" si="20"/>
        <v>99.847301587301587</v>
      </c>
    </row>
    <row r="367" spans="1:14" ht="78" outlineLevel="5">
      <c r="A367" s="2" t="s">
        <v>329</v>
      </c>
      <c r="B367" s="1" t="s">
        <v>320</v>
      </c>
      <c r="C367" s="1" t="s">
        <v>46</v>
      </c>
      <c r="D367" s="1" t="s">
        <v>18</v>
      </c>
      <c r="E367" s="1" t="s">
        <v>330</v>
      </c>
      <c r="F367" s="1" t="s">
        <v>16</v>
      </c>
      <c r="G367" s="1"/>
      <c r="H367" s="1"/>
      <c r="I367" s="1"/>
      <c r="J367" s="1"/>
      <c r="K367" s="1"/>
      <c r="L367" s="41">
        <f>L368</f>
        <v>104.3</v>
      </c>
      <c r="M367" s="41">
        <f>M368</f>
        <v>55.414470000000001</v>
      </c>
      <c r="N367" s="46">
        <f t="shared" si="20"/>
        <v>53.129884947267506</v>
      </c>
    </row>
    <row r="368" spans="1:14" ht="62.4" outlineLevel="6">
      <c r="A368" s="2" t="s">
        <v>331</v>
      </c>
      <c r="B368" s="1" t="s">
        <v>320</v>
      </c>
      <c r="C368" s="1" t="s">
        <v>46</v>
      </c>
      <c r="D368" s="1" t="s">
        <v>18</v>
      </c>
      <c r="E368" s="1" t="s">
        <v>332</v>
      </c>
      <c r="F368" s="1" t="s">
        <v>16</v>
      </c>
      <c r="G368" s="1"/>
      <c r="H368" s="1"/>
      <c r="I368" s="1"/>
      <c r="J368" s="1"/>
      <c r="K368" s="1"/>
      <c r="L368" s="41">
        <f>L369</f>
        <v>104.3</v>
      </c>
      <c r="M368" s="41">
        <f>M369</f>
        <v>55.414470000000001</v>
      </c>
      <c r="N368" s="46">
        <f t="shared" si="20"/>
        <v>53.129884947267506</v>
      </c>
    </row>
    <row r="369" spans="1:14" ht="46.8" outlineLevel="7">
      <c r="A369" s="2" t="s">
        <v>41</v>
      </c>
      <c r="B369" s="1" t="s">
        <v>320</v>
      </c>
      <c r="C369" s="1" t="s">
        <v>46</v>
      </c>
      <c r="D369" s="1" t="s">
        <v>18</v>
      </c>
      <c r="E369" s="1" t="s">
        <v>332</v>
      </c>
      <c r="F369" s="1" t="s">
        <v>42</v>
      </c>
      <c r="G369" s="1"/>
      <c r="H369" s="1"/>
      <c r="I369" s="1"/>
      <c r="J369" s="1"/>
      <c r="K369" s="1"/>
      <c r="L369" s="41">
        <v>104.3</v>
      </c>
      <c r="M369" s="44">
        <v>55.414470000000001</v>
      </c>
      <c r="N369" s="46">
        <f t="shared" si="20"/>
        <v>53.129884947267506</v>
      </c>
    </row>
    <row r="370" spans="1:14" ht="31.2" outlineLevel="7">
      <c r="A370" s="2" t="s">
        <v>624</v>
      </c>
      <c r="B370" s="1" t="s">
        <v>320</v>
      </c>
      <c r="C370" s="1" t="s">
        <v>46</v>
      </c>
      <c r="D370" s="1" t="s">
        <v>18</v>
      </c>
      <c r="E370" s="1" t="s">
        <v>625</v>
      </c>
      <c r="F370" s="1" t="s">
        <v>16</v>
      </c>
      <c r="G370" s="1"/>
      <c r="H370" s="1"/>
      <c r="I370" s="1"/>
      <c r="J370" s="1"/>
      <c r="K370" s="1"/>
      <c r="L370" s="41">
        <f>L371+L373+L375</f>
        <v>20544.804029999999</v>
      </c>
      <c r="M370" s="41">
        <f>M371+M373+M375</f>
        <v>20544.705999999998</v>
      </c>
      <c r="N370" s="46">
        <f t="shared" si="20"/>
        <v>99.999522847724137</v>
      </c>
    </row>
    <row r="371" spans="1:14" ht="140.4" outlineLevel="7">
      <c r="A371" s="2" t="s">
        <v>627</v>
      </c>
      <c r="B371" s="1" t="s">
        <v>320</v>
      </c>
      <c r="C371" s="1" t="s">
        <v>46</v>
      </c>
      <c r="D371" s="1" t="s">
        <v>18</v>
      </c>
      <c r="E371" s="1" t="s">
        <v>626</v>
      </c>
      <c r="F371" s="1" t="s">
        <v>16</v>
      </c>
      <c r="G371" s="1"/>
      <c r="H371" s="1"/>
      <c r="I371" s="1"/>
      <c r="J371" s="1"/>
      <c r="K371" s="1"/>
      <c r="L371" s="41">
        <f>L372</f>
        <v>10300.61563</v>
      </c>
      <c r="M371" s="41">
        <f>M372</f>
        <v>10300.61563</v>
      </c>
      <c r="N371" s="46">
        <f t="shared" ref="N371:N434" si="23">M371/L371*100</f>
        <v>100</v>
      </c>
    </row>
    <row r="372" spans="1:14" ht="46.8" outlineLevel="7">
      <c r="A372" s="2" t="s">
        <v>233</v>
      </c>
      <c r="B372" s="1" t="s">
        <v>320</v>
      </c>
      <c r="C372" s="1" t="s">
        <v>46</v>
      </c>
      <c r="D372" s="1" t="s">
        <v>18</v>
      </c>
      <c r="E372" s="1" t="s">
        <v>626</v>
      </c>
      <c r="F372" s="1" t="s">
        <v>234</v>
      </c>
      <c r="G372" s="1"/>
      <c r="H372" s="1"/>
      <c r="I372" s="1"/>
      <c r="J372" s="1"/>
      <c r="K372" s="1"/>
      <c r="L372" s="41">
        <v>10300.61563</v>
      </c>
      <c r="M372" s="41">
        <v>10300.61563</v>
      </c>
      <c r="N372" s="46">
        <f t="shared" si="23"/>
        <v>100</v>
      </c>
    </row>
    <row r="373" spans="1:14" ht="93.6" outlineLevel="7">
      <c r="A373" s="2" t="s">
        <v>628</v>
      </c>
      <c r="B373" s="1" t="s">
        <v>320</v>
      </c>
      <c r="C373" s="1" t="s">
        <v>46</v>
      </c>
      <c r="D373" s="1" t="s">
        <v>18</v>
      </c>
      <c r="E373" s="1" t="s">
        <v>629</v>
      </c>
      <c r="F373" s="1" t="s">
        <v>16</v>
      </c>
      <c r="G373" s="1"/>
      <c r="H373" s="1"/>
      <c r="I373" s="1"/>
      <c r="J373" s="1"/>
      <c r="K373" s="1"/>
      <c r="L373" s="41">
        <f>L374</f>
        <v>5457.6884</v>
      </c>
      <c r="M373" s="41">
        <f>M374</f>
        <v>5457.6884</v>
      </c>
      <c r="N373" s="46">
        <f t="shared" si="23"/>
        <v>100</v>
      </c>
    </row>
    <row r="374" spans="1:14" ht="46.8" outlineLevel="7">
      <c r="A374" s="2" t="s">
        <v>233</v>
      </c>
      <c r="B374" s="1" t="s">
        <v>320</v>
      </c>
      <c r="C374" s="1" t="s">
        <v>46</v>
      </c>
      <c r="D374" s="1" t="s">
        <v>18</v>
      </c>
      <c r="E374" s="1" t="s">
        <v>629</v>
      </c>
      <c r="F374" s="1" t="s">
        <v>234</v>
      </c>
      <c r="G374" s="1"/>
      <c r="H374" s="1"/>
      <c r="I374" s="1"/>
      <c r="J374" s="1"/>
      <c r="K374" s="1"/>
      <c r="L374" s="41">
        <v>5457.6884</v>
      </c>
      <c r="M374" s="41">
        <v>5457.6884</v>
      </c>
      <c r="N374" s="46">
        <f t="shared" si="23"/>
        <v>100</v>
      </c>
    </row>
    <row r="375" spans="1:14" ht="93.6" outlineLevel="7">
      <c r="A375" s="2" t="s">
        <v>628</v>
      </c>
      <c r="B375" s="1" t="s">
        <v>320</v>
      </c>
      <c r="C375" s="1" t="s">
        <v>46</v>
      </c>
      <c r="D375" s="1" t="s">
        <v>18</v>
      </c>
      <c r="E375" s="1" t="s">
        <v>686</v>
      </c>
      <c r="F375" s="1" t="s">
        <v>16</v>
      </c>
      <c r="G375" s="1"/>
      <c r="H375" s="1"/>
      <c r="I375" s="1"/>
      <c r="J375" s="1"/>
      <c r="K375" s="1"/>
      <c r="L375" s="41">
        <f>L376</f>
        <v>4786.5</v>
      </c>
      <c r="M375" s="41">
        <f>M376</f>
        <v>4786.4019699999999</v>
      </c>
      <c r="N375" s="46">
        <f t="shared" si="23"/>
        <v>99.99795194818762</v>
      </c>
    </row>
    <row r="376" spans="1:14" ht="46.8" outlineLevel="7">
      <c r="A376" s="2" t="s">
        <v>233</v>
      </c>
      <c r="B376" s="1" t="s">
        <v>320</v>
      </c>
      <c r="C376" s="1" t="s">
        <v>46</v>
      </c>
      <c r="D376" s="1" t="s">
        <v>18</v>
      </c>
      <c r="E376" s="1" t="s">
        <v>686</v>
      </c>
      <c r="F376" s="1" t="s">
        <v>234</v>
      </c>
      <c r="G376" s="1"/>
      <c r="H376" s="1"/>
      <c r="I376" s="1"/>
      <c r="J376" s="1"/>
      <c r="K376" s="1"/>
      <c r="L376" s="41">
        <v>4786.5</v>
      </c>
      <c r="M376" s="44">
        <v>4786.4019699999999</v>
      </c>
      <c r="N376" s="46">
        <f t="shared" si="23"/>
        <v>99.99795194818762</v>
      </c>
    </row>
    <row r="377" spans="1:14" ht="93.6" outlineLevel="7">
      <c r="A377" s="2" t="s">
        <v>668</v>
      </c>
      <c r="B377" s="1" t="s">
        <v>320</v>
      </c>
      <c r="C377" s="1" t="s">
        <v>46</v>
      </c>
      <c r="D377" s="1" t="s">
        <v>18</v>
      </c>
      <c r="E377" s="1" t="s">
        <v>667</v>
      </c>
      <c r="F377" s="1" t="s">
        <v>16</v>
      </c>
      <c r="G377" s="1"/>
      <c r="H377" s="1"/>
      <c r="I377" s="1"/>
      <c r="J377" s="1"/>
      <c r="K377" s="1"/>
      <c r="L377" s="41">
        <f>L378</f>
        <v>72.2</v>
      </c>
      <c r="M377" s="41">
        <f>M378</f>
        <v>9.5223200000000006</v>
      </c>
      <c r="N377" s="46">
        <f t="shared" si="23"/>
        <v>13.188808864265928</v>
      </c>
    </row>
    <row r="378" spans="1:14" ht="93.6" outlineLevel="7">
      <c r="A378" s="2" t="s">
        <v>669</v>
      </c>
      <c r="B378" s="1" t="s">
        <v>320</v>
      </c>
      <c r="C378" s="1" t="s">
        <v>46</v>
      </c>
      <c r="D378" s="1" t="s">
        <v>18</v>
      </c>
      <c r="E378" s="1" t="s">
        <v>666</v>
      </c>
      <c r="F378" s="1" t="s">
        <v>16</v>
      </c>
      <c r="G378" s="1"/>
      <c r="H378" s="1"/>
      <c r="I378" s="1"/>
      <c r="J378" s="1"/>
      <c r="K378" s="1"/>
      <c r="L378" s="41">
        <f>L379+L380</f>
        <v>72.2</v>
      </c>
      <c r="M378" s="41">
        <f>M379+M380</f>
        <v>9.5223200000000006</v>
      </c>
      <c r="N378" s="46">
        <f t="shared" si="23"/>
        <v>13.188808864265928</v>
      </c>
    </row>
    <row r="379" spans="1:14" ht="31.2" outlineLevel="7">
      <c r="A379" s="2" t="s">
        <v>77</v>
      </c>
      <c r="B379" s="1" t="s">
        <v>320</v>
      </c>
      <c r="C379" s="1" t="s">
        <v>46</v>
      </c>
      <c r="D379" s="1" t="s">
        <v>18</v>
      </c>
      <c r="E379" s="1" t="s">
        <v>666</v>
      </c>
      <c r="F379" s="1" t="s">
        <v>78</v>
      </c>
      <c r="G379" s="1"/>
      <c r="H379" s="1"/>
      <c r="I379" s="1"/>
      <c r="J379" s="1"/>
      <c r="K379" s="1"/>
      <c r="L379" s="41">
        <f>72.2-0.4</f>
        <v>71.8</v>
      </c>
      <c r="M379" s="44">
        <v>9.1223200000000002</v>
      </c>
      <c r="N379" s="46">
        <f t="shared" si="23"/>
        <v>12.705181058495823</v>
      </c>
    </row>
    <row r="380" spans="1:14" ht="15.6" outlineLevel="7">
      <c r="A380" s="2" t="s">
        <v>680</v>
      </c>
      <c r="B380" s="1" t="s">
        <v>320</v>
      </c>
      <c r="C380" s="1" t="s">
        <v>46</v>
      </c>
      <c r="D380" s="1" t="s">
        <v>18</v>
      </c>
      <c r="E380" s="1" t="s">
        <v>666</v>
      </c>
      <c r="F380" s="1" t="s">
        <v>60</v>
      </c>
      <c r="G380" s="1"/>
      <c r="H380" s="1"/>
      <c r="I380" s="1"/>
      <c r="J380" s="1"/>
      <c r="K380" s="1"/>
      <c r="L380" s="41">
        <v>0.4</v>
      </c>
      <c r="M380" s="44">
        <v>0.4</v>
      </c>
      <c r="N380" s="46">
        <f t="shared" si="23"/>
        <v>100</v>
      </c>
    </row>
    <row r="381" spans="1:14" ht="46.8" outlineLevel="7">
      <c r="A381" s="2" t="s">
        <v>701</v>
      </c>
      <c r="B381" s="1" t="s">
        <v>320</v>
      </c>
      <c r="C381" s="1" t="s">
        <v>46</v>
      </c>
      <c r="D381" s="1" t="s">
        <v>18</v>
      </c>
      <c r="E381" s="1" t="s">
        <v>702</v>
      </c>
      <c r="F381" s="1" t="s">
        <v>16</v>
      </c>
      <c r="G381" s="1"/>
      <c r="H381" s="1"/>
      <c r="I381" s="1"/>
      <c r="J381" s="1"/>
      <c r="K381" s="1"/>
      <c r="L381" s="41">
        <f>L382</f>
        <v>166.69200000000001</v>
      </c>
      <c r="M381" s="41">
        <f>M382</f>
        <v>98.02</v>
      </c>
      <c r="N381" s="46">
        <f t="shared" si="23"/>
        <v>58.803061934585941</v>
      </c>
    </row>
    <row r="382" spans="1:14" ht="46.8" outlineLevel="7">
      <c r="A382" s="2" t="s">
        <v>703</v>
      </c>
      <c r="B382" s="1" t="s">
        <v>320</v>
      </c>
      <c r="C382" s="1" t="s">
        <v>46</v>
      </c>
      <c r="D382" s="1" t="s">
        <v>18</v>
      </c>
      <c r="E382" s="1" t="s">
        <v>704</v>
      </c>
      <c r="F382" s="1" t="s">
        <v>16</v>
      </c>
      <c r="G382" s="1"/>
      <c r="H382" s="1"/>
      <c r="I382" s="1"/>
      <c r="J382" s="1"/>
      <c r="K382" s="1"/>
      <c r="L382" s="41">
        <f>L383</f>
        <v>166.69200000000001</v>
      </c>
      <c r="M382" s="41">
        <f>M383</f>
        <v>98.02</v>
      </c>
      <c r="N382" s="46">
        <f t="shared" si="23"/>
        <v>58.803061934585941</v>
      </c>
    </row>
    <row r="383" spans="1:14" ht="48.75" customHeight="1" outlineLevel="7">
      <c r="A383" s="2" t="s">
        <v>41</v>
      </c>
      <c r="B383" s="1" t="s">
        <v>320</v>
      </c>
      <c r="C383" s="1" t="s">
        <v>46</v>
      </c>
      <c r="D383" s="1" t="s">
        <v>18</v>
      </c>
      <c r="E383" s="1" t="s">
        <v>704</v>
      </c>
      <c r="F383" s="1" t="s">
        <v>42</v>
      </c>
      <c r="G383" s="1"/>
      <c r="H383" s="1"/>
      <c r="I383" s="1"/>
      <c r="J383" s="1"/>
      <c r="K383" s="1"/>
      <c r="L383" s="41">
        <v>166.69200000000001</v>
      </c>
      <c r="M383" s="44">
        <v>98.02</v>
      </c>
      <c r="N383" s="46">
        <f t="shared" si="23"/>
        <v>58.803061934585941</v>
      </c>
    </row>
    <row r="384" spans="1:14" ht="31.2" outlineLevel="7">
      <c r="A384" s="2" t="s">
        <v>617</v>
      </c>
      <c r="B384" s="1" t="s">
        <v>320</v>
      </c>
      <c r="C384" s="1" t="s">
        <v>46</v>
      </c>
      <c r="D384" s="1" t="s">
        <v>18</v>
      </c>
      <c r="E384" s="1" t="s">
        <v>618</v>
      </c>
      <c r="F384" s="1" t="s">
        <v>16</v>
      </c>
      <c r="G384" s="1"/>
      <c r="H384" s="1"/>
      <c r="I384" s="1"/>
      <c r="J384" s="1"/>
      <c r="K384" s="1"/>
      <c r="L384" s="41">
        <f>L385</f>
        <v>55023.869999999995</v>
      </c>
      <c r="M384" s="41">
        <f>M385</f>
        <v>54995.996999999996</v>
      </c>
      <c r="N384" s="46">
        <f t="shared" si="23"/>
        <v>99.949343802971327</v>
      </c>
    </row>
    <row r="385" spans="1:14" ht="78" outlineLevel="7">
      <c r="A385" s="2" t="s">
        <v>619</v>
      </c>
      <c r="B385" s="1" t="s">
        <v>320</v>
      </c>
      <c r="C385" s="1" t="s">
        <v>46</v>
      </c>
      <c r="D385" s="1" t="s">
        <v>18</v>
      </c>
      <c r="E385" s="1" t="s">
        <v>620</v>
      </c>
      <c r="F385" s="1" t="s">
        <v>16</v>
      </c>
      <c r="G385" s="1"/>
      <c r="H385" s="1"/>
      <c r="I385" s="1"/>
      <c r="J385" s="1"/>
      <c r="K385" s="1"/>
      <c r="L385" s="41">
        <f>L390+L386+L388+L392</f>
        <v>55023.869999999995</v>
      </c>
      <c r="M385" s="41">
        <f>M390+M386+M388+M392</f>
        <v>54995.996999999996</v>
      </c>
      <c r="N385" s="46">
        <f t="shared" si="23"/>
        <v>99.949343802971327</v>
      </c>
    </row>
    <row r="386" spans="1:14" ht="46.8" outlineLevel="7">
      <c r="A386" s="2" t="s">
        <v>641</v>
      </c>
      <c r="B386" s="1" t="s">
        <v>320</v>
      </c>
      <c r="C386" s="1" t="s">
        <v>46</v>
      </c>
      <c r="D386" s="1" t="s">
        <v>18</v>
      </c>
      <c r="E386" s="1" t="s">
        <v>640</v>
      </c>
      <c r="F386" s="1" t="s">
        <v>16</v>
      </c>
      <c r="G386" s="1"/>
      <c r="H386" s="1"/>
      <c r="I386" s="1"/>
      <c r="J386" s="1"/>
      <c r="K386" s="1"/>
      <c r="L386" s="41">
        <f>L387</f>
        <v>31631.599999999999</v>
      </c>
      <c r="M386" s="41">
        <f>M387</f>
        <v>31603.726999999999</v>
      </c>
      <c r="N386" s="46">
        <f t="shared" si="23"/>
        <v>99.911882421376092</v>
      </c>
    </row>
    <row r="387" spans="1:14" ht="46.8" outlineLevel="7">
      <c r="A387" s="2" t="s">
        <v>233</v>
      </c>
      <c r="B387" s="1" t="s">
        <v>320</v>
      </c>
      <c r="C387" s="1" t="s">
        <v>46</v>
      </c>
      <c r="D387" s="1" t="s">
        <v>18</v>
      </c>
      <c r="E387" s="1" t="s">
        <v>640</v>
      </c>
      <c r="F387" s="1" t="s">
        <v>234</v>
      </c>
      <c r="G387" s="1"/>
      <c r="H387" s="1"/>
      <c r="I387" s="1"/>
      <c r="J387" s="1"/>
      <c r="K387" s="1"/>
      <c r="L387" s="41">
        <v>31631.599999999999</v>
      </c>
      <c r="M387" s="44">
        <v>31603.726999999999</v>
      </c>
      <c r="N387" s="46">
        <f t="shared" si="23"/>
        <v>99.911882421376092</v>
      </c>
    </row>
    <row r="388" spans="1:14" ht="46.8" outlineLevel="7">
      <c r="A388" s="2" t="s">
        <v>643</v>
      </c>
      <c r="B388" s="1" t="s">
        <v>320</v>
      </c>
      <c r="C388" s="1" t="s">
        <v>46</v>
      </c>
      <c r="D388" s="1" t="s">
        <v>18</v>
      </c>
      <c r="E388" s="1" t="s">
        <v>642</v>
      </c>
      <c r="F388" s="1" t="s">
        <v>16</v>
      </c>
      <c r="G388" s="1"/>
      <c r="H388" s="1"/>
      <c r="I388" s="1"/>
      <c r="J388" s="1"/>
      <c r="K388" s="1"/>
      <c r="L388" s="41">
        <f>L389</f>
        <v>15142.861999999999</v>
      </c>
      <c r="M388" s="41">
        <f>M389</f>
        <v>15142.861999999999</v>
      </c>
      <c r="N388" s="46">
        <f t="shared" si="23"/>
        <v>100</v>
      </c>
    </row>
    <row r="389" spans="1:14" ht="46.8" outlineLevel="7">
      <c r="A389" s="2" t="s">
        <v>233</v>
      </c>
      <c r="B389" s="1" t="s">
        <v>320</v>
      </c>
      <c r="C389" s="1" t="s">
        <v>46</v>
      </c>
      <c r="D389" s="1" t="s">
        <v>18</v>
      </c>
      <c r="E389" s="1" t="s">
        <v>642</v>
      </c>
      <c r="F389" s="1" t="s">
        <v>234</v>
      </c>
      <c r="G389" s="1"/>
      <c r="H389" s="1"/>
      <c r="I389" s="1"/>
      <c r="J389" s="1"/>
      <c r="K389" s="1"/>
      <c r="L389" s="41">
        <f>15365.8-222.938</f>
        <v>15142.861999999999</v>
      </c>
      <c r="M389" s="41">
        <f>15365.8-222.938</f>
        <v>15142.861999999999</v>
      </c>
      <c r="N389" s="46">
        <f t="shared" si="23"/>
        <v>100</v>
      </c>
    </row>
    <row r="390" spans="1:14" ht="48.75" customHeight="1" outlineLevel="7">
      <c r="A390" s="2" t="s">
        <v>621</v>
      </c>
      <c r="B390" s="1" t="s">
        <v>320</v>
      </c>
      <c r="C390" s="1" t="s">
        <v>46</v>
      </c>
      <c r="D390" s="1" t="s">
        <v>18</v>
      </c>
      <c r="E390" s="1" t="s">
        <v>659</v>
      </c>
      <c r="F390" s="1" t="s">
        <v>16</v>
      </c>
      <c r="G390" s="1"/>
      <c r="H390" s="1"/>
      <c r="I390" s="1"/>
      <c r="J390" s="1"/>
      <c r="K390" s="1"/>
      <c r="L390" s="41">
        <f>L391</f>
        <v>5577.13</v>
      </c>
      <c r="M390" s="41">
        <f>M391</f>
        <v>5577.13</v>
      </c>
      <c r="N390" s="46">
        <f t="shared" si="23"/>
        <v>100</v>
      </c>
    </row>
    <row r="391" spans="1:14" ht="46.8" outlineLevel="7">
      <c r="A391" s="2" t="s">
        <v>233</v>
      </c>
      <c r="B391" s="1" t="s">
        <v>320</v>
      </c>
      <c r="C391" s="1" t="s">
        <v>46</v>
      </c>
      <c r="D391" s="1" t="s">
        <v>18</v>
      </c>
      <c r="E391" s="1" t="s">
        <v>659</v>
      </c>
      <c r="F391" s="1" t="s">
        <v>234</v>
      </c>
      <c r="G391" s="1"/>
      <c r="H391" s="1"/>
      <c r="I391" s="1"/>
      <c r="J391" s="1"/>
      <c r="K391" s="1"/>
      <c r="L391" s="41">
        <f>5582.1-4.97</f>
        <v>5577.13</v>
      </c>
      <c r="M391" s="41">
        <f>5582.1-4.97</f>
        <v>5577.13</v>
      </c>
      <c r="N391" s="46">
        <f t="shared" si="23"/>
        <v>100</v>
      </c>
    </row>
    <row r="392" spans="1:14" ht="15.6" outlineLevel="7">
      <c r="A392" s="2" t="s">
        <v>661</v>
      </c>
      <c r="B392" s="1" t="s">
        <v>320</v>
      </c>
      <c r="C392" s="1" t="s">
        <v>46</v>
      </c>
      <c r="D392" s="1" t="s">
        <v>18</v>
      </c>
      <c r="E392" s="1" t="s">
        <v>660</v>
      </c>
      <c r="F392" s="1" t="s">
        <v>16</v>
      </c>
      <c r="G392" s="1"/>
      <c r="H392" s="1"/>
      <c r="I392" s="1"/>
      <c r="J392" s="1"/>
      <c r="K392" s="1"/>
      <c r="L392" s="41">
        <f>L393</f>
        <v>2672.2779999999998</v>
      </c>
      <c r="M392" s="41">
        <f>M393</f>
        <v>2672.2779999999998</v>
      </c>
      <c r="N392" s="46">
        <f t="shared" si="23"/>
        <v>100</v>
      </c>
    </row>
    <row r="393" spans="1:14" ht="46.8" outlineLevel="7">
      <c r="A393" s="2" t="s">
        <v>233</v>
      </c>
      <c r="B393" s="1" t="s">
        <v>320</v>
      </c>
      <c r="C393" s="1" t="s">
        <v>46</v>
      </c>
      <c r="D393" s="1" t="s">
        <v>18</v>
      </c>
      <c r="E393" s="1" t="s">
        <v>660</v>
      </c>
      <c r="F393" s="1" t="s">
        <v>234</v>
      </c>
      <c r="G393" s="1"/>
      <c r="H393" s="1"/>
      <c r="I393" s="1"/>
      <c r="J393" s="1"/>
      <c r="K393" s="1"/>
      <c r="L393" s="41">
        <f>2711.6-39.322</f>
        <v>2672.2779999999998</v>
      </c>
      <c r="M393" s="41">
        <f>2711.6-39.322</f>
        <v>2672.2779999999998</v>
      </c>
      <c r="N393" s="46">
        <f t="shared" si="23"/>
        <v>100</v>
      </c>
    </row>
    <row r="394" spans="1:14" ht="31.2" outlineLevel="2">
      <c r="A394" s="5" t="s">
        <v>302</v>
      </c>
      <c r="B394" s="6" t="s">
        <v>320</v>
      </c>
      <c r="C394" s="6" t="s">
        <v>46</v>
      </c>
      <c r="D394" s="6" t="s">
        <v>46</v>
      </c>
      <c r="E394" s="6"/>
      <c r="F394" s="6"/>
      <c r="G394" s="6"/>
      <c r="H394" s="6"/>
      <c r="I394" s="6"/>
      <c r="J394" s="6"/>
      <c r="K394" s="6"/>
      <c r="L394" s="40">
        <f t="shared" ref="L394:M396" si="24">L395</f>
        <v>6799.7</v>
      </c>
      <c r="M394" s="40">
        <f t="shared" si="24"/>
        <v>6734.1302799999994</v>
      </c>
      <c r="N394" s="47">
        <f t="shared" si="23"/>
        <v>99.0356968689795</v>
      </c>
    </row>
    <row r="395" spans="1:14" ht="46.8" outlineLevel="3">
      <c r="A395" s="2" t="s">
        <v>321</v>
      </c>
      <c r="B395" s="1" t="s">
        <v>320</v>
      </c>
      <c r="C395" s="1" t="s">
        <v>46</v>
      </c>
      <c r="D395" s="1" t="s">
        <v>46</v>
      </c>
      <c r="E395" s="1" t="s">
        <v>322</v>
      </c>
      <c r="F395" s="1" t="s">
        <v>16</v>
      </c>
      <c r="G395" s="1"/>
      <c r="H395" s="1"/>
      <c r="I395" s="1"/>
      <c r="J395" s="1"/>
      <c r="K395" s="1"/>
      <c r="L395" s="41">
        <f t="shared" si="24"/>
        <v>6799.7</v>
      </c>
      <c r="M395" s="41">
        <f t="shared" si="24"/>
        <v>6734.1302799999994</v>
      </c>
      <c r="N395" s="46">
        <f t="shared" si="23"/>
        <v>99.0356968689795</v>
      </c>
    </row>
    <row r="396" spans="1:14" ht="31.2" outlineLevel="4">
      <c r="A396" s="2" t="s">
        <v>323</v>
      </c>
      <c r="B396" s="1" t="s">
        <v>320</v>
      </c>
      <c r="C396" s="1" t="s">
        <v>46</v>
      </c>
      <c r="D396" s="1" t="s">
        <v>46</v>
      </c>
      <c r="E396" s="1" t="s">
        <v>324</v>
      </c>
      <c r="F396" s="1" t="s">
        <v>16</v>
      </c>
      <c r="G396" s="1"/>
      <c r="H396" s="1"/>
      <c r="I396" s="1"/>
      <c r="J396" s="1"/>
      <c r="K396" s="1"/>
      <c r="L396" s="41">
        <f t="shared" si="24"/>
        <v>6799.7</v>
      </c>
      <c r="M396" s="41">
        <f t="shared" si="24"/>
        <v>6734.1302799999994</v>
      </c>
      <c r="N396" s="46">
        <f t="shared" si="23"/>
        <v>99.0356968689795</v>
      </c>
    </row>
    <row r="397" spans="1:14" ht="46.8" outlineLevel="5">
      <c r="A397" s="2" t="s">
        <v>69</v>
      </c>
      <c r="B397" s="1" t="s">
        <v>320</v>
      </c>
      <c r="C397" s="1" t="s">
        <v>46</v>
      </c>
      <c r="D397" s="1" t="s">
        <v>46</v>
      </c>
      <c r="E397" s="1" t="s">
        <v>333</v>
      </c>
      <c r="F397" s="1" t="s">
        <v>16</v>
      </c>
      <c r="G397" s="1"/>
      <c r="H397" s="1"/>
      <c r="I397" s="1"/>
      <c r="J397" s="1"/>
      <c r="K397" s="1"/>
      <c r="L397" s="41">
        <f>L398+L400+L402</f>
        <v>6799.7</v>
      </c>
      <c r="M397" s="41">
        <f>M398+M400+M402</f>
        <v>6734.1302799999994</v>
      </c>
      <c r="N397" s="46">
        <f t="shared" si="23"/>
        <v>99.0356968689795</v>
      </c>
    </row>
    <row r="398" spans="1:14" ht="31.2" outlineLevel="6">
      <c r="A398" s="2" t="s">
        <v>33</v>
      </c>
      <c r="B398" s="1" t="s">
        <v>320</v>
      </c>
      <c r="C398" s="1" t="s">
        <v>46</v>
      </c>
      <c r="D398" s="1" t="s">
        <v>46</v>
      </c>
      <c r="E398" s="1" t="s">
        <v>334</v>
      </c>
      <c r="F398" s="1" t="s">
        <v>16</v>
      </c>
      <c r="G398" s="1"/>
      <c r="H398" s="1"/>
      <c r="I398" s="1"/>
      <c r="J398" s="1"/>
      <c r="K398" s="1"/>
      <c r="L398" s="41">
        <f>L399</f>
        <v>2761.6</v>
      </c>
      <c r="M398" s="41">
        <f>M399</f>
        <v>2755.3155099999999</v>
      </c>
      <c r="N398" s="46">
        <f t="shared" si="23"/>
        <v>99.772433009849365</v>
      </c>
    </row>
    <row r="399" spans="1:14" ht="109.2" outlineLevel="7">
      <c r="A399" s="2" t="s">
        <v>29</v>
      </c>
      <c r="B399" s="1" t="s">
        <v>320</v>
      </c>
      <c r="C399" s="1" t="s">
        <v>46</v>
      </c>
      <c r="D399" s="1" t="s">
        <v>46</v>
      </c>
      <c r="E399" s="1" t="s">
        <v>334</v>
      </c>
      <c r="F399" s="1" t="s">
        <v>30</v>
      </c>
      <c r="G399" s="1"/>
      <c r="H399" s="1"/>
      <c r="I399" s="1"/>
      <c r="J399" s="1"/>
      <c r="K399" s="1"/>
      <c r="L399" s="41">
        <v>2761.6</v>
      </c>
      <c r="M399" s="44">
        <v>2755.3155099999999</v>
      </c>
      <c r="N399" s="46">
        <f t="shared" si="23"/>
        <v>99.772433009849365</v>
      </c>
    </row>
    <row r="400" spans="1:14" ht="31.2" outlineLevel="6">
      <c r="A400" s="2" t="s">
        <v>35</v>
      </c>
      <c r="B400" s="1" t="s">
        <v>320</v>
      </c>
      <c r="C400" s="1" t="s">
        <v>46</v>
      </c>
      <c r="D400" s="1" t="s">
        <v>46</v>
      </c>
      <c r="E400" s="1" t="s">
        <v>335</v>
      </c>
      <c r="F400" s="1" t="s">
        <v>16</v>
      </c>
      <c r="G400" s="1"/>
      <c r="H400" s="1"/>
      <c r="I400" s="1"/>
      <c r="J400" s="1"/>
      <c r="K400" s="1"/>
      <c r="L400" s="41">
        <f>L401</f>
        <v>381.4</v>
      </c>
      <c r="M400" s="41">
        <f>M401</f>
        <v>359.47394000000003</v>
      </c>
      <c r="N400" s="46">
        <f t="shared" si="23"/>
        <v>94.251164132144737</v>
      </c>
    </row>
    <row r="401" spans="1:14" ht="46.8" outlineLevel="7">
      <c r="A401" s="2" t="s">
        <v>41</v>
      </c>
      <c r="B401" s="1" t="s">
        <v>320</v>
      </c>
      <c r="C401" s="1" t="s">
        <v>46</v>
      </c>
      <c r="D401" s="1" t="s">
        <v>46</v>
      </c>
      <c r="E401" s="1" t="s">
        <v>335</v>
      </c>
      <c r="F401" s="1" t="s">
        <v>42</v>
      </c>
      <c r="G401" s="1"/>
      <c r="H401" s="1"/>
      <c r="I401" s="1"/>
      <c r="J401" s="1"/>
      <c r="K401" s="1"/>
      <c r="L401" s="41">
        <f>361.4+20</f>
        <v>381.4</v>
      </c>
      <c r="M401" s="44">
        <v>359.47394000000003</v>
      </c>
      <c r="N401" s="46">
        <f t="shared" si="23"/>
        <v>94.251164132144737</v>
      </c>
    </row>
    <row r="402" spans="1:14" ht="46.8" outlineLevel="6">
      <c r="A402" s="2" t="s">
        <v>336</v>
      </c>
      <c r="B402" s="1" t="s">
        <v>320</v>
      </c>
      <c r="C402" s="1" t="s">
        <v>46</v>
      </c>
      <c r="D402" s="1" t="s">
        <v>46</v>
      </c>
      <c r="E402" s="1" t="s">
        <v>337</v>
      </c>
      <c r="F402" s="1" t="s">
        <v>16</v>
      </c>
      <c r="G402" s="1"/>
      <c r="H402" s="1"/>
      <c r="I402" s="1"/>
      <c r="J402" s="1"/>
      <c r="K402" s="1"/>
      <c r="L402" s="41">
        <f>L403+L404+L405</f>
        <v>3656.7</v>
      </c>
      <c r="M402" s="41">
        <f>M403+M404+M405</f>
        <v>3619.3408299999996</v>
      </c>
      <c r="N402" s="46">
        <f t="shared" si="23"/>
        <v>98.97833647824541</v>
      </c>
    </row>
    <row r="403" spans="1:14" ht="109.2" outlineLevel="7">
      <c r="A403" s="2" t="s">
        <v>29</v>
      </c>
      <c r="B403" s="1" t="s">
        <v>320</v>
      </c>
      <c r="C403" s="1" t="s">
        <v>46</v>
      </c>
      <c r="D403" s="1" t="s">
        <v>46</v>
      </c>
      <c r="E403" s="1" t="s">
        <v>337</v>
      </c>
      <c r="F403" s="1" t="s">
        <v>30</v>
      </c>
      <c r="G403" s="1"/>
      <c r="H403" s="1"/>
      <c r="I403" s="1"/>
      <c r="J403" s="1"/>
      <c r="K403" s="1"/>
      <c r="L403" s="41">
        <v>2732.7</v>
      </c>
      <c r="M403" s="44">
        <v>2730.9966599999998</v>
      </c>
      <c r="N403" s="46">
        <f t="shared" si="23"/>
        <v>99.937668240201987</v>
      </c>
    </row>
    <row r="404" spans="1:14" ht="46.8" outlineLevel="7">
      <c r="A404" s="2" t="s">
        <v>41</v>
      </c>
      <c r="B404" s="1" t="s">
        <v>320</v>
      </c>
      <c r="C404" s="1" t="s">
        <v>46</v>
      </c>
      <c r="D404" s="1" t="s">
        <v>46</v>
      </c>
      <c r="E404" s="1" t="s">
        <v>337</v>
      </c>
      <c r="F404" s="1" t="s">
        <v>42</v>
      </c>
      <c r="G404" s="1"/>
      <c r="H404" s="1"/>
      <c r="I404" s="1"/>
      <c r="J404" s="1"/>
      <c r="K404" s="1"/>
      <c r="L404" s="41">
        <f>884-20</f>
        <v>864</v>
      </c>
      <c r="M404" s="44">
        <v>828.49532999999997</v>
      </c>
      <c r="N404" s="46">
        <f t="shared" si="23"/>
        <v>95.890663194444443</v>
      </c>
    </row>
    <row r="405" spans="1:14" ht="15.6" outlineLevel="7">
      <c r="A405" s="2" t="s">
        <v>59</v>
      </c>
      <c r="B405" s="1" t="s">
        <v>320</v>
      </c>
      <c r="C405" s="1" t="s">
        <v>46</v>
      </c>
      <c r="D405" s="1" t="s">
        <v>46</v>
      </c>
      <c r="E405" s="1" t="s">
        <v>337</v>
      </c>
      <c r="F405" s="1" t="s">
        <v>60</v>
      </c>
      <c r="G405" s="1"/>
      <c r="H405" s="1"/>
      <c r="I405" s="1"/>
      <c r="J405" s="1"/>
      <c r="K405" s="1"/>
      <c r="L405" s="41">
        <f>20+40</f>
        <v>60</v>
      </c>
      <c r="M405" s="44">
        <v>59.848840000000003</v>
      </c>
      <c r="N405" s="46">
        <f t="shared" si="23"/>
        <v>99.748066666666674</v>
      </c>
    </row>
    <row r="406" spans="1:14" ht="15.6" outlineLevel="1">
      <c r="A406" s="3" t="s">
        <v>114</v>
      </c>
      <c r="B406" s="4" t="s">
        <v>320</v>
      </c>
      <c r="C406" s="4" t="s">
        <v>115</v>
      </c>
      <c r="D406" s="4"/>
      <c r="E406" s="4"/>
      <c r="F406" s="4"/>
      <c r="G406" s="4"/>
      <c r="H406" s="4"/>
      <c r="I406" s="4"/>
      <c r="J406" s="4"/>
      <c r="K406" s="4"/>
      <c r="L406" s="39">
        <f>L407+L432</f>
        <v>35497.584999999999</v>
      </c>
      <c r="M406" s="39">
        <f>M407+M432</f>
        <v>35497.553</v>
      </c>
      <c r="N406" s="49">
        <f t="shared" si="23"/>
        <v>99.999909853022402</v>
      </c>
    </row>
    <row r="407" spans="1:14" ht="15.6" outlineLevel="2">
      <c r="A407" s="5" t="s">
        <v>121</v>
      </c>
      <c r="B407" s="6" t="s">
        <v>320</v>
      </c>
      <c r="C407" s="6" t="s">
        <v>115</v>
      </c>
      <c r="D407" s="6" t="s">
        <v>93</v>
      </c>
      <c r="E407" s="6"/>
      <c r="F407" s="6"/>
      <c r="G407" s="6"/>
      <c r="H407" s="6"/>
      <c r="I407" s="6"/>
      <c r="J407" s="6"/>
      <c r="K407" s="6"/>
      <c r="L407" s="40">
        <f>L408</f>
        <v>17349.584999999999</v>
      </c>
      <c r="M407" s="40">
        <f>M408</f>
        <v>17349.584999999999</v>
      </c>
      <c r="N407" s="47">
        <f t="shared" si="23"/>
        <v>100</v>
      </c>
    </row>
    <row r="408" spans="1:14" ht="46.8" outlineLevel="3">
      <c r="A408" s="2" t="s">
        <v>321</v>
      </c>
      <c r="B408" s="1" t="s">
        <v>320</v>
      </c>
      <c r="C408" s="1" t="s">
        <v>115</v>
      </c>
      <c r="D408" s="1" t="s">
        <v>93</v>
      </c>
      <c r="E408" s="1" t="s">
        <v>322</v>
      </c>
      <c r="F408" s="1" t="s">
        <v>16</v>
      </c>
      <c r="G408" s="1"/>
      <c r="H408" s="1"/>
      <c r="I408" s="1"/>
      <c r="J408" s="1"/>
      <c r="K408" s="1"/>
      <c r="L408" s="41">
        <f>L409+L417+L426</f>
        <v>17349.584999999999</v>
      </c>
      <c r="M408" s="41">
        <f>M409+M417+M426</f>
        <v>17349.584999999999</v>
      </c>
      <c r="N408" s="46">
        <f t="shared" si="23"/>
        <v>100</v>
      </c>
    </row>
    <row r="409" spans="1:14" ht="31.2" outlineLevel="4">
      <c r="A409" s="2" t="s">
        <v>338</v>
      </c>
      <c r="B409" s="1" t="s">
        <v>320</v>
      </c>
      <c r="C409" s="1" t="s">
        <v>115</v>
      </c>
      <c r="D409" s="1" t="s">
        <v>93</v>
      </c>
      <c r="E409" s="1" t="s">
        <v>339</v>
      </c>
      <c r="F409" s="1" t="s">
        <v>16</v>
      </c>
      <c r="G409" s="1"/>
      <c r="H409" s="1"/>
      <c r="I409" s="1"/>
      <c r="J409" s="1"/>
      <c r="K409" s="1"/>
      <c r="L409" s="41">
        <f>L410</f>
        <v>10946.415999999999</v>
      </c>
      <c r="M409" s="41">
        <f>M410</f>
        <v>10946.415999999999</v>
      </c>
      <c r="N409" s="46">
        <f t="shared" si="23"/>
        <v>100</v>
      </c>
    </row>
    <row r="410" spans="1:14" ht="46.8" outlineLevel="5">
      <c r="A410" s="2" t="s">
        <v>340</v>
      </c>
      <c r="B410" s="1" t="s">
        <v>320</v>
      </c>
      <c r="C410" s="1" t="s">
        <v>115</v>
      </c>
      <c r="D410" s="1" t="s">
        <v>93</v>
      </c>
      <c r="E410" s="1" t="s">
        <v>341</v>
      </c>
      <c r="F410" s="1" t="s">
        <v>16</v>
      </c>
      <c r="G410" s="1"/>
      <c r="H410" s="1"/>
      <c r="I410" s="1"/>
      <c r="J410" s="1"/>
      <c r="K410" s="1"/>
      <c r="L410" s="41">
        <f>L413+L411+L415</f>
        <v>10946.415999999999</v>
      </c>
      <c r="M410" s="41">
        <f>M413+M411+M415</f>
        <v>10946.415999999999</v>
      </c>
      <c r="N410" s="46">
        <f t="shared" si="23"/>
        <v>100</v>
      </c>
    </row>
    <row r="411" spans="1:14" ht="31.2" outlineLevel="5">
      <c r="A411" s="2" t="s">
        <v>650</v>
      </c>
      <c r="B411" s="1" t="s">
        <v>320</v>
      </c>
      <c r="C411" s="1" t="s">
        <v>115</v>
      </c>
      <c r="D411" s="1" t="s">
        <v>93</v>
      </c>
      <c r="E411" s="1" t="s">
        <v>651</v>
      </c>
      <c r="F411" s="1" t="s">
        <v>16</v>
      </c>
      <c r="G411" s="1"/>
      <c r="H411" s="1"/>
      <c r="I411" s="1"/>
      <c r="J411" s="1"/>
      <c r="K411" s="1"/>
      <c r="L411" s="41">
        <f>L412</f>
        <v>3907.2</v>
      </c>
      <c r="M411" s="41">
        <f>M412</f>
        <v>3907.2</v>
      </c>
      <c r="N411" s="46">
        <f t="shared" si="23"/>
        <v>100</v>
      </c>
    </row>
    <row r="412" spans="1:14" ht="31.2" outlineLevel="5">
      <c r="A412" s="2" t="s">
        <v>77</v>
      </c>
      <c r="B412" s="1" t="s">
        <v>320</v>
      </c>
      <c r="C412" s="1" t="s">
        <v>115</v>
      </c>
      <c r="D412" s="1" t="s">
        <v>93</v>
      </c>
      <c r="E412" s="1" t="s">
        <v>651</v>
      </c>
      <c r="F412" s="1" t="s">
        <v>78</v>
      </c>
      <c r="G412" s="1"/>
      <c r="H412" s="1"/>
      <c r="I412" s="1"/>
      <c r="J412" s="1"/>
      <c r="K412" s="1"/>
      <c r="L412" s="41">
        <v>3907.2</v>
      </c>
      <c r="M412" s="41">
        <v>3907.2</v>
      </c>
      <c r="N412" s="46">
        <f t="shared" si="23"/>
        <v>100</v>
      </c>
    </row>
    <row r="413" spans="1:14" ht="46.8" outlineLevel="6">
      <c r="A413" s="2" t="s">
        <v>342</v>
      </c>
      <c r="B413" s="1" t="s">
        <v>320</v>
      </c>
      <c r="C413" s="1" t="s">
        <v>115</v>
      </c>
      <c r="D413" s="1" t="s">
        <v>93</v>
      </c>
      <c r="E413" s="1" t="s">
        <v>343</v>
      </c>
      <c r="F413" s="1" t="s">
        <v>16</v>
      </c>
      <c r="G413" s="1"/>
      <c r="H413" s="1"/>
      <c r="I413" s="1"/>
      <c r="J413" s="1"/>
      <c r="K413" s="1"/>
      <c r="L413" s="41">
        <f>L414</f>
        <v>3000</v>
      </c>
      <c r="M413" s="41">
        <f>M414</f>
        <v>3000</v>
      </c>
      <c r="N413" s="46">
        <f t="shared" si="23"/>
        <v>100</v>
      </c>
    </row>
    <row r="414" spans="1:14" ht="31.2" outlineLevel="7">
      <c r="A414" s="2" t="s">
        <v>77</v>
      </c>
      <c r="B414" s="1" t="s">
        <v>320</v>
      </c>
      <c r="C414" s="1" t="s">
        <v>115</v>
      </c>
      <c r="D414" s="1" t="s">
        <v>93</v>
      </c>
      <c r="E414" s="1" t="s">
        <v>343</v>
      </c>
      <c r="F414" s="1" t="s">
        <v>78</v>
      </c>
      <c r="G414" s="1"/>
      <c r="H414" s="1"/>
      <c r="I414" s="1"/>
      <c r="J414" s="1"/>
      <c r="K414" s="1"/>
      <c r="L414" s="41">
        <v>3000</v>
      </c>
      <c r="M414" s="41">
        <v>3000</v>
      </c>
      <c r="N414" s="46">
        <f t="shared" si="23"/>
        <v>100</v>
      </c>
    </row>
    <row r="415" spans="1:14" ht="31.2" outlineLevel="7">
      <c r="A415" s="2" t="s">
        <v>650</v>
      </c>
      <c r="B415" s="1" t="s">
        <v>320</v>
      </c>
      <c r="C415" s="1" t="s">
        <v>115</v>
      </c>
      <c r="D415" s="1" t="s">
        <v>93</v>
      </c>
      <c r="E415" s="1" t="s">
        <v>652</v>
      </c>
      <c r="F415" s="1" t="s">
        <v>16</v>
      </c>
      <c r="G415" s="1"/>
      <c r="H415" s="1"/>
      <c r="I415" s="1"/>
      <c r="J415" s="1"/>
      <c r="K415" s="1"/>
      <c r="L415" s="41">
        <f>L416</f>
        <v>4039.2159999999999</v>
      </c>
      <c r="M415" s="41">
        <f>M416</f>
        <v>4039.2159999999999</v>
      </c>
      <c r="N415" s="46">
        <f t="shared" si="23"/>
        <v>100</v>
      </c>
    </row>
    <row r="416" spans="1:14" ht="31.2" outlineLevel="7">
      <c r="A416" s="2" t="s">
        <v>77</v>
      </c>
      <c r="B416" s="1" t="s">
        <v>320</v>
      </c>
      <c r="C416" s="1" t="s">
        <v>115</v>
      </c>
      <c r="D416" s="1" t="s">
        <v>93</v>
      </c>
      <c r="E416" s="1" t="s">
        <v>652</v>
      </c>
      <c r="F416" s="1" t="s">
        <v>78</v>
      </c>
      <c r="G416" s="1"/>
      <c r="H416" s="1"/>
      <c r="I416" s="1"/>
      <c r="J416" s="1"/>
      <c r="K416" s="1"/>
      <c r="L416" s="41">
        <f>3000+1039.216</f>
        <v>4039.2159999999999</v>
      </c>
      <c r="M416" s="41">
        <f>3000+1039.216</f>
        <v>4039.2159999999999</v>
      </c>
      <c r="N416" s="46">
        <f t="shared" si="23"/>
        <v>100</v>
      </c>
    </row>
    <row r="417" spans="1:14" ht="62.4" outlineLevel="4">
      <c r="A417" s="2" t="s">
        <v>344</v>
      </c>
      <c r="B417" s="1" t="s">
        <v>320</v>
      </c>
      <c r="C417" s="1" t="s">
        <v>115</v>
      </c>
      <c r="D417" s="1" t="s">
        <v>93</v>
      </c>
      <c r="E417" s="1" t="s">
        <v>345</v>
      </c>
      <c r="F417" s="1" t="s">
        <v>16</v>
      </c>
      <c r="G417" s="1"/>
      <c r="H417" s="1"/>
      <c r="I417" s="1"/>
      <c r="J417" s="1"/>
      <c r="K417" s="1"/>
      <c r="L417" s="41">
        <f>L418+L423</f>
        <v>4513.1689999999999</v>
      </c>
      <c r="M417" s="41">
        <f>M418+M423</f>
        <v>4513.1689999999999</v>
      </c>
      <c r="N417" s="46">
        <f t="shared" si="23"/>
        <v>100</v>
      </c>
    </row>
    <row r="418" spans="1:14" ht="46.8" outlineLevel="5">
      <c r="A418" s="2" t="s">
        <v>346</v>
      </c>
      <c r="B418" s="1" t="s">
        <v>320</v>
      </c>
      <c r="C418" s="1" t="s">
        <v>115</v>
      </c>
      <c r="D418" s="1" t="s">
        <v>93</v>
      </c>
      <c r="E418" s="1" t="s">
        <v>347</v>
      </c>
      <c r="F418" s="1" t="s">
        <v>16</v>
      </c>
      <c r="G418" s="1"/>
      <c r="H418" s="1"/>
      <c r="I418" s="1"/>
      <c r="J418" s="1"/>
      <c r="K418" s="1"/>
      <c r="L418" s="41">
        <f>L421+L419</f>
        <v>3563.0280000000002</v>
      </c>
      <c r="M418" s="41">
        <f>M421+M419</f>
        <v>3563.0280000000002</v>
      </c>
      <c r="N418" s="46">
        <f t="shared" si="23"/>
        <v>100</v>
      </c>
    </row>
    <row r="419" spans="1:14" ht="133.5" customHeight="1" outlineLevel="5">
      <c r="A419" s="2" t="s">
        <v>614</v>
      </c>
      <c r="B419" s="1" t="s">
        <v>320</v>
      </c>
      <c r="C419" s="1" t="s">
        <v>115</v>
      </c>
      <c r="D419" s="1" t="s">
        <v>93</v>
      </c>
      <c r="E419" s="1" t="s">
        <v>613</v>
      </c>
      <c r="F419" s="1" t="s">
        <v>16</v>
      </c>
      <c r="G419" s="1"/>
      <c r="H419" s="1"/>
      <c r="I419" s="1"/>
      <c r="J419" s="1"/>
      <c r="K419" s="1"/>
      <c r="L419" s="41">
        <f>L420</f>
        <v>2375.3519999999999</v>
      </c>
      <c r="M419" s="41">
        <f>M420</f>
        <v>2375.3519999999999</v>
      </c>
      <c r="N419" s="46">
        <f t="shared" si="23"/>
        <v>100</v>
      </c>
    </row>
    <row r="420" spans="1:14" ht="31.2" outlineLevel="5">
      <c r="A420" s="2" t="s">
        <v>77</v>
      </c>
      <c r="B420" s="1" t="s">
        <v>320</v>
      </c>
      <c r="C420" s="1" t="s">
        <v>115</v>
      </c>
      <c r="D420" s="1" t="s">
        <v>93</v>
      </c>
      <c r="E420" s="1" t="s">
        <v>613</v>
      </c>
      <c r="F420" s="1" t="s">
        <v>78</v>
      </c>
      <c r="G420" s="1"/>
      <c r="H420" s="1"/>
      <c r="I420" s="1"/>
      <c r="J420" s="1"/>
      <c r="K420" s="1"/>
      <c r="L420" s="41">
        <v>2375.3519999999999</v>
      </c>
      <c r="M420" s="41">
        <v>2375.3519999999999</v>
      </c>
      <c r="N420" s="46">
        <f t="shared" si="23"/>
        <v>100</v>
      </c>
    </row>
    <row r="421" spans="1:14" ht="109.2" outlineLevel="6">
      <c r="A421" s="2" t="s">
        <v>348</v>
      </c>
      <c r="B421" s="1" t="s">
        <v>320</v>
      </c>
      <c r="C421" s="1" t="s">
        <v>115</v>
      </c>
      <c r="D421" s="1" t="s">
        <v>93</v>
      </c>
      <c r="E421" s="1" t="s">
        <v>349</v>
      </c>
      <c r="F421" s="1" t="s">
        <v>16</v>
      </c>
      <c r="G421" s="1"/>
      <c r="H421" s="1"/>
      <c r="I421" s="1"/>
      <c r="J421" s="1"/>
      <c r="K421" s="1"/>
      <c r="L421" s="41">
        <f>L422</f>
        <v>1187.6760000000002</v>
      </c>
      <c r="M421" s="41">
        <f>M422</f>
        <v>1187.6760000000002</v>
      </c>
      <c r="N421" s="46">
        <f t="shared" si="23"/>
        <v>100</v>
      </c>
    </row>
    <row r="422" spans="1:14" ht="31.2" outlineLevel="7">
      <c r="A422" s="2" t="s">
        <v>77</v>
      </c>
      <c r="B422" s="1" t="s">
        <v>320</v>
      </c>
      <c r="C422" s="1" t="s">
        <v>115</v>
      </c>
      <c r="D422" s="1" t="s">
        <v>93</v>
      </c>
      <c r="E422" s="1" t="s">
        <v>349</v>
      </c>
      <c r="F422" s="1" t="s">
        <v>78</v>
      </c>
      <c r="G422" s="1"/>
      <c r="H422" s="1"/>
      <c r="I422" s="1"/>
      <c r="J422" s="1"/>
      <c r="K422" s="1"/>
      <c r="L422" s="41">
        <f>1187.7-0.024</f>
        <v>1187.6760000000002</v>
      </c>
      <c r="M422" s="41">
        <f>1187.7-0.024</f>
        <v>1187.6760000000002</v>
      </c>
      <c r="N422" s="46">
        <f t="shared" si="23"/>
        <v>100</v>
      </c>
    </row>
    <row r="423" spans="1:14" ht="156" outlineLevel="7">
      <c r="A423" s="2" t="s">
        <v>653</v>
      </c>
      <c r="B423" s="1" t="s">
        <v>320</v>
      </c>
      <c r="C423" s="1" t="s">
        <v>115</v>
      </c>
      <c r="D423" s="1" t="s">
        <v>93</v>
      </c>
      <c r="E423" s="1" t="s">
        <v>654</v>
      </c>
      <c r="F423" s="1" t="s">
        <v>16</v>
      </c>
      <c r="G423" s="1"/>
      <c r="H423" s="1"/>
      <c r="I423" s="1"/>
      <c r="J423" s="1"/>
      <c r="K423" s="1"/>
      <c r="L423" s="41">
        <f>L424</f>
        <v>950.14099999999996</v>
      </c>
      <c r="M423" s="41">
        <f>M424</f>
        <v>950.14099999999996</v>
      </c>
      <c r="N423" s="46">
        <f t="shared" si="23"/>
        <v>100</v>
      </c>
    </row>
    <row r="424" spans="1:14" ht="124.8" outlineLevel="7">
      <c r="A424" s="2" t="s">
        <v>655</v>
      </c>
      <c r="B424" s="1" t="s">
        <v>320</v>
      </c>
      <c r="C424" s="1" t="s">
        <v>115</v>
      </c>
      <c r="D424" s="1" t="s">
        <v>93</v>
      </c>
      <c r="E424" s="1" t="s">
        <v>656</v>
      </c>
      <c r="F424" s="1" t="s">
        <v>16</v>
      </c>
      <c r="G424" s="1"/>
      <c r="H424" s="1"/>
      <c r="I424" s="1"/>
      <c r="J424" s="1"/>
      <c r="K424" s="1"/>
      <c r="L424" s="41">
        <f>L425</f>
        <v>950.14099999999996</v>
      </c>
      <c r="M424" s="41">
        <f>M425</f>
        <v>950.14099999999996</v>
      </c>
      <c r="N424" s="46">
        <f t="shared" si="23"/>
        <v>100</v>
      </c>
    </row>
    <row r="425" spans="1:14" ht="31.2" outlineLevel="7">
      <c r="A425" s="2" t="s">
        <v>77</v>
      </c>
      <c r="B425" s="1" t="s">
        <v>320</v>
      </c>
      <c r="C425" s="1" t="s">
        <v>115</v>
      </c>
      <c r="D425" s="1" t="s">
        <v>93</v>
      </c>
      <c r="E425" s="1" t="s">
        <v>656</v>
      </c>
      <c r="F425" s="1" t="s">
        <v>78</v>
      </c>
      <c r="G425" s="1"/>
      <c r="H425" s="1"/>
      <c r="I425" s="1"/>
      <c r="J425" s="1"/>
      <c r="K425" s="1"/>
      <c r="L425" s="41">
        <v>950.14099999999996</v>
      </c>
      <c r="M425" s="41">
        <v>950.14099999999996</v>
      </c>
      <c r="N425" s="46">
        <f t="shared" si="23"/>
        <v>100</v>
      </c>
    </row>
    <row r="426" spans="1:14" ht="31.2" outlineLevel="4">
      <c r="A426" s="2" t="s">
        <v>350</v>
      </c>
      <c r="B426" s="1" t="s">
        <v>320</v>
      </c>
      <c r="C426" s="1" t="s">
        <v>115</v>
      </c>
      <c r="D426" s="1" t="s">
        <v>93</v>
      </c>
      <c r="E426" s="1" t="s">
        <v>351</v>
      </c>
      <c r="F426" s="1" t="s">
        <v>16</v>
      </c>
      <c r="G426" s="1"/>
      <c r="H426" s="1"/>
      <c r="I426" s="1"/>
      <c r="J426" s="1"/>
      <c r="K426" s="1"/>
      <c r="L426" s="41">
        <f>L427</f>
        <v>1890</v>
      </c>
      <c r="M426" s="41">
        <f>M427</f>
        <v>1890</v>
      </c>
      <c r="N426" s="46">
        <f t="shared" si="23"/>
        <v>100</v>
      </c>
    </row>
    <row r="427" spans="1:14" ht="31.2" outlineLevel="5">
      <c r="A427" s="2" t="s">
        <v>352</v>
      </c>
      <c r="B427" s="1" t="s">
        <v>320</v>
      </c>
      <c r="C427" s="1" t="s">
        <v>115</v>
      </c>
      <c r="D427" s="1" t="s">
        <v>93</v>
      </c>
      <c r="E427" s="1" t="s">
        <v>353</v>
      </c>
      <c r="F427" s="1" t="s">
        <v>16</v>
      </c>
      <c r="G427" s="1"/>
      <c r="H427" s="1"/>
      <c r="I427" s="1"/>
      <c r="J427" s="1"/>
      <c r="K427" s="1"/>
      <c r="L427" s="41">
        <f>L430+L428</f>
        <v>1890</v>
      </c>
      <c r="M427" s="41">
        <f>M430+M428</f>
        <v>1890</v>
      </c>
      <c r="N427" s="46">
        <f t="shared" si="23"/>
        <v>100</v>
      </c>
    </row>
    <row r="428" spans="1:14" ht="31.2" outlineLevel="5">
      <c r="A428" s="2" t="s">
        <v>644</v>
      </c>
      <c r="B428" s="1" t="s">
        <v>320</v>
      </c>
      <c r="C428" s="1" t="s">
        <v>115</v>
      </c>
      <c r="D428" s="1" t="s">
        <v>93</v>
      </c>
      <c r="E428" s="1" t="s">
        <v>645</v>
      </c>
      <c r="F428" s="1" t="s">
        <v>16</v>
      </c>
      <c r="G428" s="1"/>
      <c r="H428" s="1"/>
      <c r="I428" s="1"/>
      <c r="J428" s="1"/>
      <c r="K428" s="1"/>
      <c r="L428" s="41">
        <f>L429</f>
        <v>1606.5</v>
      </c>
      <c r="M428" s="41">
        <f>M429</f>
        <v>1606.5</v>
      </c>
      <c r="N428" s="46">
        <f t="shared" si="23"/>
        <v>100</v>
      </c>
    </row>
    <row r="429" spans="1:14" ht="31.2" outlineLevel="5">
      <c r="A429" s="2" t="s">
        <v>77</v>
      </c>
      <c r="B429" s="1" t="s">
        <v>320</v>
      </c>
      <c r="C429" s="1" t="s">
        <v>115</v>
      </c>
      <c r="D429" s="1" t="s">
        <v>93</v>
      </c>
      <c r="E429" s="1" t="s">
        <v>645</v>
      </c>
      <c r="F429" s="1" t="s">
        <v>78</v>
      </c>
      <c r="G429" s="1"/>
      <c r="H429" s="1"/>
      <c r="I429" s="1"/>
      <c r="J429" s="1"/>
      <c r="K429" s="1"/>
      <c r="L429" s="41">
        <v>1606.5</v>
      </c>
      <c r="M429" s="41">
        <v>1606.5</v>
      </c>
      <c r="N429" s="46">
        <f t="shared" si="23"/>
        <v>100</v>
      </c>
    </row>
    <row r="430" spans="1:14" ht="31.2" outlineLevel="6">
      <c r="A430" s="2" t="s">
        <v>354</v>
      </c>
      <c r="B430" s="1" t="s">
        <v>320</v>
      </c>
      <c r="C430" s="1" t="s">
        <v>115</v>
      </c>
      <c r="D430" s="1" t="s">
        <v>93</v>
      </c>
      <c r="E430" s="1" t="s">
        <v>355</v>
      </c>
      <c r="F430" s="1" t="s">
        <v>16</v>
      </c>
      <c r="G430" s="1"/>
      <c r="H430" s="1"/>
      <c r="I430" s="1"/>
      <c r="J430" s="1"/>
      <c r="K430" s="1"/>
      <c r="L430" s="41">
        <f>L431</f>
        <v>283.5</v>
      </c>
      <c r="M430" s="41">
        <f>M431</f>
        <v>283.5</v>
      </c>
      <c r="N430" s="46">
        <f t="shared" si="23"/>
        <v>100</v>
      </c>
    </row>
    <row r="431" spans="1:14" ht="31.2" outlineLevel="7">
      <c r="A431" s="2" t="s">
        <v>77</v>
      </c>
      <c r="B431" s="1" t="s">
        <v>320</v>
      </c>
      <c r="C431" s="1" t="s">
        <v>115</v>
      </c>
      <c r="D431" s="1" t="s">
        <v>93</v>
      </c>
      <c r="E431" s="1" t="s">
        <v>355</v>
      </c>
      <c r="F431" s="1" t="s">
        <v>78</v>
      </c>
      <c r="G431" s="1"/>
      <c r="H431" s="1"/>
      <c r="I431" s="1"/>
      <c r="J431" s="1"/>
      <c r="K431" s="1"/>
      <c r="L431" s="41">
        <v>283.5</v>
      </c>
      <c r="M431" s="41">
        <v>283.5</v>
      </c>
      <c r="N431" s="46">
        <f t="shared" si="23"/>
        <v>100</v>
      </c>
    </row>
    <row r="432" spans="1:14" ht="15.6" outlineLevel="2">
      <c r="A432" s="5" t="s">
        <v>356</v>
      </c>
      <c r="B432" s="6" t="s">
        <v>320</v>
      </c>
      <c r="C432" s="6" t="s">
        <v>115</v>
      </c>
      <c r="D432" s="6" t="s">
        <v>32</v>
      </c>
      <c r="E432" s="6"/>
      <c r="F432" s="6"/>
      <c r="G432" s="6"/>
      <c r="H432" s="6"/>
      <c r="I432" s="6"/>
      <c r="J432" s="6"/>
      <c r="K432" s="6"/>
      <c r="L432" s="40">
        <f t="shared" ref="L432:M434" si="25">L433</f>
        <v>18148</v>
      </c>
      <c r="M432" s="40">
        <f t="shared" si="25"/>
        <v>18147.968000000001</v>
      </c>
      <c r="N432" s="47">
        <f t="shared" si="23"/>
        <v>99.999823672029976</v>
      </c>
    </row>
    <row r="433" spans="1:14" ht="46.8" outlineLevel="3">
      <c r="A433" s="2" t="s">
        <v>321</v>
      </c>
      <c r="B433" s="1" t="s">
        <v>320</v>
      </c>
      <c r="C433" s="1" t="s">
        <v>115</v>
      </c>
      <c r="D433" s="1" t="s">
        <v>32</v>
      </c>
      <c r="E433" s="1" t="s">
        <v>322</v>
      </c>
      <c r="F433" s="1" t="s">
        <v>16</v>
      </c>
      <c r="G433" s="1"/>
      <c r="H433" s="1"/>
      <c r="I433" s="1"/>
      <c r="J433" s="1"/>
      <c r="K433" s="1"/>
      <c r="L433" s="41">
        <f t="shared" si="25"/>
        <v>18148</v>
      </c>
      <c r="M433" s="41">
        <f t="shared" si="25"/>
        <v>18147.968000000001</v>
      </c>
      <c r="N433" s="46">
        <f t="shared" si="23"/>
        <v>99.999823672029976</v>
      </c>
    </row>
    <row r="434" spans="1:14" ht="62.4" outlineLevel="4">
      <c r="A434" s="2" t="s">
        <v>344</v>
      </c>
      <c r="B434" s="1" t="s">
        <v>320</v>
      </c>
      <c r="C434" s="1" t="s">
        <v>115</v>
      </c>
      <c r="D434" s="1" t="s">
        <v>32</v>
      </c>
      <c r="E434" s="1" t="s">
        <v>345</v>
      </c>
      <c r="F434" s="1" t="s">
        <v>16</v>
      </c>
      <c r="G434" s="1"/>
      <c r="H434" s="1"/>
      <c r="I434" s="1"/>
      <c r="J434" s="1"/>
      <c r="K434" s="1"/>
      <c r="L434" s="41">
        <f t="shared" si="25"/>
        <v>18148</v>
      </c>
      <c r="M434" s="41">
        <f t="shared" si="25"/>
        <v>18147.968000000001</v>
      </c>
      <c r="N434" s="46">
        <f t="shared" si="23"/>
        <v>99.999823672029976</v>
      </c>
    </row>
    <row r="435" spans="1:14" ht="62.4" outlineLevel="5">
      <c r="A435" s="2" t="s">
        <v>357</v>
      </c>
      <c r="B435" s="1" t="s">
        <v>320</v>
      </c>
      <c r="C435" s="1" t="s">
        <v>115</v>
      </c>
      <c r="D435" s="1" t="s">
        <v>32</v>
      </c>
      <c r="E435" s="1" t="s">
        <v>358</v>
      </c>
      <c r="F435" s="1" t="s">
        <v>16</v>
      </c>
      <c r="G435" s="1"/>
      <c r="H435" s="1"/>
      <c r="I435" s="1"/>
      <c r="J435" s="1"/>
      <c r="K435" s="1"/>
      <c r="L435" s="41">
        <f>L436+L438</f>
        <v>18148</v>
      </c>
      <c r="M435" s="41">
        <f>M436+M438</f>
        <v>18147.968000000001</v>
      </c>
      <c r="N435" s="46">
        <f t="shared" ref="N435:N498" si="26">M435/L435*100</f>
        <v>99.999823672029976</v>
      </c>
    </row>
    <row r="436" spans="1:14" ht="78" outlineLevel="6">
      <c r="A436" s="2" t="s">
        <v>359</v>
      </c>
      <c r="B436" s="1" t="s">
        <v>320</v>
      </c>
      <c r="C436" s="1" t="s">
        <v>115</v>
      </c>
      <c r="D436" s="1" t="s">
        <v>32</v>
      </c>
      <c r="E436" s="1" t="s">
        <v>360</v>
      </c>
      <c r="F436" s="1" t="s">
        <v>16</v>
      </c>
      <c r="G436" s="1"/>
      <c r="H436" s="1"/>
      <c r="I436" s="1"/>
      <c r="J436" s="1"/>
      <c r="K436" s="1"/>
      <c r="L436" s="41">
        <f>L437</f>
        <v>5584</v>
      </c>
      <c r="M436" s="41">
        <f>M437</f>
        <v>5584</v>
      </c>
      <c r="N436" s="46">
        <f t="shared" si="26"/>
        <v>100</v>
      </c>
    </row>
    <row r="437" spans="1:14" ht="46.8" outlineLevel="7">
      <c r="A437" s="2" t="s">
        <v>233</v>
      </c>
      <c r="B437" s="1" t="s">
        <v>320</v>
      </c>
      <c r="C437" s="1" t="s">
        <v>115</v>
      </c>
      <c r="D437" s="1" t="s">
        <v>32</v>
      </c>
      <c r="E437" s="1" t="s">
        <v>360</v>
      </c>
      <c r="F437" s="1" t="s">
        <v>234</v>
      </c>
      <c r="G437" s="1"/>
      <c r="H437" s="1"/>
      <c r="I437" s="1"/>
      <c r="J437" s="1"/>
      <c r="K437" s="1"/>
      <c r="L437" s="41">
        <v>5584</v>
      </c>
      <c r="M437" s="41">
        <v>5584</v>
      </c>
      <c r="N437" s="46">
        <f t="shared" si="26"/>
        <v>100</v>
      </c>
    </row>
    <row r="438" spans="1:14" ht="78" outlineLevel="6">
      <c r="A438" s="2" t="s">
        <v>359</v>
      </c>
      <c r="B438" s="1" t="s">
        <v>320</v>
      </c>
      <c r="C438" s="1" t="s">
        <v>115</v>
      </c>
      <c r="D438" s="1" t="s">
        <v>32</v>
      </c>
      <c r="E438" s="1" t="s">
        <v>361</v>
      </c>
      <c r="F438" s="1" t="s">
        <v>16</v>
      </c>
      <c r="G438" s="1"/>
      <c r="H438" s="1"/>
      <c r="I438" s="1"/>
      <c r="J438" s="1"/>
      <c r="K438" s="1"/>
      <c r="L438" s="41">
        <f>L439</f>
        <v>12564</v>
      </c>
      <c r="M438" s="41">
        <f>M439</f>
        <v>12563.968000000001</v>
      </c>
      <c r="N438" s="46">
        <f t="shared" si="26"/>
        <v>99.999745304043302</v>
      </c>
    </row>
    <row r="439" spans="1:14" ht="46.8" outlineLevel="7">
      <c r="A439" s="2" t="s">
        <v>233</v>
      </c>
      <c r="B439" s="1" t="s">
        <v>320</v>
      </c>
      <c r="C439" s="1" t="s">
        <v>115</v>
      </c>
      <c r="D439" s="1" t="s">
        <v>32</v>
      </c>
      <c r="E439" s="1" t="s">
        <v>361</v>
      </c>
      <c r="F439" s="1" t="s">
        <v>234</v>
      </c>
      <c r="G439" s="1"/>
      <c r="H439" s="1"/>
      <c r="I439" s="1"/>
      <c r="J439" s="1"/>
      <c r="K439" s="1"/>
      <c r="L439" s="41">
        <v>12564</v>
      </c>
      <c r="M439" s="44">
        <v>12563.968000000001</v>
      </c>
      <c r="N439" s="46">
        <f t="shared" si="26"/>
        <v>99.999745304043302</v>
      </c>
    </row>
    <row r="440" spans="1:14" ht="31.2">
      <c r="A440" s="3" t="s">
        <v>362</v>
      </c>
      <c r="B440" s="4" t="s">
        <v>363</v>
      </c>
      <c r="C440" s="4"/>
      <c r="D440" s="4"/>
      <c r="E440" s="4"/>
      <c r="F440" s="4"/>
      <c r="G440" s="4"/>
      <c r="H440" s="4"/>
      <c r="I440" s="4"/>
      <c r="J440" s="4"/>
      <c r="K440" s="4"/>
      <c r="L440" s="39">
        <f>L441+L449+L486</f>
        <v>147143.4</v>
      </c>
      <c r="M440" s="39">
        <f>M441+M449+M486</f>
        <v>145439.39533000003</v>
      </c>
      <c r="N440" s="49">
        <f t="shared" si="26"/>
        <v>98.841942846230296</v>
      </c>
    </row>
    <row r="441" spans="1:14" ht="15.6" outlineLevel="1">
      <c r="A441" s="3" t="s">
        <v>364</v>
      </c>
      <c r="B441" s="4" t="s">
        <v>363</v>
      </c>
      <c r="C441" s="4" t="s">
        <v>365</v>
      </c>
      <c r="D441" s="4"/>
      <c r="E441" s="4"/>
      <c r="F441" s="4"/>
      <c r="G441" s="4"/>
      <c r="H441" s="4"/>
      <c r="I441" s="4"/>
      <c r="J441" s="4"/>
      <c r="K441" s="4"/>
      <c r="L441" s="39">
        <f t="shared" ref="L441:M443" si="27">L442</f>
        <v>34671.199999999997</v>
      </c>
      <c r="M441" s="39">
        <f t="shared" si="27"/>
        <v>34582.128830000001</v>
      </c>
      <c r="N441" s="49">
        <f t="shared" si="26"/>
        <v>99.743097527631022</v>
      </c>
    </row>
    <row r="442" spans="1:14" ht="15.6" outlineLevel="2">
      <c r="A442" s="5" t="s">
        <v>366</v>
      </c>
      <c r="B442" s="6" t="s">
        <v>363</v>
      </c>
      <c r="C442" s="6" t="s">
        <v>365</v>
      </c>
      <c r="D442" s="6" t="s">
        <v>20</v>
      </c>
      <c r="E442" s="6"/>
      <c r="F442" s="6"/>
      <c r="G442" s="6"/>
      <c r="H442" s="6"/>
      <c r="I442" s="6"/>
      <c r="J442" s="6"/>
      <c r="K442" s="6"/>
      <c r="L442" s="40">
        <f t="shared" si="27"/>
        <v>34671.199999999997</v>
      </c>
      <c r="M442" s="40">
        <f t="shared" si="27"/>
        <v>34582.128830000001</v>
      </c>
      <c r="N442" s="47">
        <f t="shared" si="26"/>
        <v>99.743097527631022</v>
      </c>
    </row>
    <row r="443" spans="1:14" ht="46.8" outlineLevel="3">
      <c r="A443" s="2" t="s">
        <v>367</v>
      </c>
      <c r="B443" s="1" t="s">
        <v>363</v>
      </c>
      <c r="C443" s="1" t="s">
        <v>365</v>
      </c>
      <c r="D443" s="1" t="s">
        <v>20</v>
      </c>
      <c r="E443" s="1" t="s">
        <v>368</v>
      </c>
      <c r="F443" s="1" t="s">
        <v>16</v>
      </c>
      <c r="G443" s="1"/>
      <c r="H443" s="1"/>
      <c r="I443" s="1"/>
      <c r="J443" s="1"/>
      <c r="K443" s="1"/>
      <c r="L443" s="41">
        <f t="shared" si="27"/>
        <v>34671.199999999997</v>
      </c>
      <c r="M443" s="41">
        <f t="shared" si="27"/>
        <v>34582.128830000001</v>
      </c>
      <c r="N443" s="46">
        <f t="shared" si="26"/>
        <v>99.743097527631022</v>
      </c>
    </row>
    <row r="444" spans="1:14" ht="78" outlineLevel="5">
      <c r="A444" s="2" t="s">
        <v>369</v>
      </c>
      <c r="B444" s="1" t="s">
        <v>363</v>
      </c>
      <c r="C444" s="1" t="s">
        <v>365</v>
      </c>
      <c r="D444" s="1" t="s">
        <v>20</v>
      </c>
      <c r="E444" s="1" t="s">
        <v>370</v>
      </c>
      <c r="F444" s="1" t="s">
        <v>16</v>
      </c>
      <c r="G444" s="1"/>
      <c r="H444" s="1"/>
      <c r="I444" s="1"/>
      <c r="J444" s="1"/>
      <c r="K444" s="1"/>
      <c r="L444" s="41">
        <f>L445+L447</f>
        <v>34671.199999999997</v>
      </c>
      <c r="M444" s="41">
        <f>M445+M447</f>
        <v>34582.128830000001</v>
      </c>
      <c r="N444" s="46">
        <f t="shared" si="26"/>
        <v>99.743097527631022</v>
      </c>
    </row>
    <row r="445" spans="1:14" ht="93.6" outlineLevel="6">
      <c r="A445" s="2" t="s">
        <v>374</v>
      </c>
      <c r="B445" s="1" t="s">
        <v>363</v>
      </c>
      <c r="C445" s="1" t="s">
        <v>365</v>
      </c>
      <c r="D445" s="1" t="s">
        <v>20</v>
      </c>
      <c r="E445" s="1" t="s">
        <v>375</v>
      </c>
      <c r="F445" s="1" t="s">
        <v>16</v>
      </c>
      <c r="G445" s="1"/>
      <c r="H445" s="1"/>
      <c r="I445" s="1"/>
      <c r="J445" s="1"/>
      <c r="K445" s="1"/>
      <c r="L445" s="41">
        <f>L446</f>
        <v>5600</v>
      </c>
      <c r="M445" s="41">
        <f>M446</f>
        <v>5600</v>
      </c>
      <c r="N445" s="46">
        <f t="shared" si="26"/>
        <v>100</v>
      </c>
    </row>
    <row r="446" spans="1:14" ht="62.4" outlineLevel="7">
      <c r="A446" s="2" t="s">
        <v>90</v>
      </c>
      <c r="B446" s="1" t="s">
        <v>363</v>
      </c>
      <c r="C446" s="1" t="s">
        <v>365</v>
      </c>
      <c r="D446" s="1" t="s">
        <v>20</v>
      </c>
      <c r="E446" s="1" t="s">
        <v>375</v>
      </c>
      <c r="F446" s="1" t="s">
        <v>91</v>
      </c>
      <c r="G446" s="1"/>
      <c r="H446" s="1"/>
      <c r="I446" s="1"/>
      <c r="J446" s="1"/>
      <c r="K446" s="1"/>
      <c r="L446" s="41">
        <f>4200+300+533.8+566.2</f>
        <v>5600</v>
      </c>
      <c r="M446" s="41">
        <f>4200+300+533.8+566.2</f>
        <v>5600</v>
      </c>
      <c r="N446" s="46">
        <f t="shared" si="26"/>
        <v>100</v>
      </c>
    </row>
    <row r="447" spans="1:14" ht="46.8" outlineLevel="6">
      <c r="A447" s="2" t="s">
        <v>376</v>
      </c>
      <c r="B447" s="1" t="s">
        <v>363</v>
      </c>
      <c r="C447" s="1" t="s">
        <v>365</v>
      </c>
      <c r="D447" s="1" t="s">
        <v>20</v>
      </c>
      <c r="E447" s="1" t="s">
        <v>377</v>
      </c>
      <c r="F447" s="1" t="s">
        <v>16</v>
      </c>
      <c r="G447" s="1"/>
      <c r="H447" s="1"/>
      <c r="I447" s="1"/>
      <c r="J447" s="1"/>
      <c r="K447" s="1"/>
      <c r="L447" s="41">
        <f>L448</f>
        <v>29071.200000000001</v>
      </c>
      <c r="M447" s="41">
        <f>M448</f>
        <v>28982.128830000001</v>
      </c>
      <c r="N447" s="46">
        <f t="shared" si="26"/>
        <v>99.6936102740857</v>
      </c>
    </row>
    <row r="448" spans="1:14" ht="62.4" outlineLevel="7">
      <c r="A448" s="2" t="s">
        <v>90</v>
      </c>
      <c r="B448" s="1" t="s">
        <v>363</v>
      </c>
      <c r="C448" s="1" t="s">
        <v>365</v>
      </c>
      <c r="D448" s="1" t="s">
        <v>20</v>
      </c>
      <c r="E448" s="1" t="s">
        <v>377</v>
      </c>
      <c r="F448" s="1" t="s">
        <v>91</v>
      </c>
      <c r="G448" s="1"/>
      <c r="H448" s="1"/>
      <c r="I448" s="1"/>
      <c r="J448" s="1"/>
      <c r="K448" s="1"/>
      <c r="L448" s="41">
        <f>28475-173.8+770</f>
        <v>29071.200000000001</v>
      </c>
      <c r="M448" s="44">
        <v>28982.128830000001</v>
      </c>
      <c r="N448" s="46">
        <f t="shared" si="26"/>
        <v>99.6936102740857</v>
      </c>
    </row>
    <row r="449" spans="1:14" ht="15.6" outlineLevel="1">
      <c r="A449" s="3" t="s">
        <v>378</v>
      </c>
      <c r="B449" s="4" t="s">
        <v>363</v>
      </c>
      <c r="C449" s="4" t="s">
        <v>206</v>
      </c>
      <c r="D449" s="4"/>
      <c r="E449" s="4"/>
      <c r="F449" s="4"/>
      <c r="G449" s="4"/>
      <c r="H449" s="4"/>
      <c r="I449" s="4"/>
      <c r="J449" s="4"/>
      <c r="K449" s="4"/>
      <c r="L449" s="39">
        <f>L450+L476</f>
        <v>112411.29999999999</v>
      </c>
      <c r="M449" s="39">
        <f>M450+M476</f>
        <v>110800.67450000001</v>
      </c>
      <c r="N449" s="49">
        <f>M449/L449*100</f>
        <v>98.567203208218416</v>
      </c>
    </row>
    <row r="450" spans="1:14" ht="15.6" outlineLevel="2">
      <c r="A450" s="5" t="s">
        <v>379</v>
      </c>
      <c r="B450" s="6" t="s">
        <v>363</v>
      </c>
      <c r="C450" s="6" t="s">
        <v>206</v>
      </c>
      <c r="D450" s="6" t="s">
        <v>18</v>
      </c>
      <c r="E450" s="6"/>
      <c r="F450" s="6"/>
      <c r="G450" s="6"/>
      <c r="H450" s="6"/>
      <c r="I450" s="6"/>
      <c r="J450" s="6"/>
      <c r="K450" s="6"/>
      <c r="L450" s="40">
        <f>L451</f>
        <v>103830.29999999999</v>
      </c>
      <c r="M450" s="40">
        <f>M451</f>
        <v>102332.63753000001</v>
      </c>
      <c r="N450" s="47">
        <f t="shared" si="26"/>
        <v>98.557586301879141</v>
      </c>
    </row>
    <row r="451" spans="1:14" ht="46.8" outlineLevel="3">
      <c r="A451" s="2" t="s">
        <v>367</v>
      </c>
      <c r="B451" s="1" t="s">
        <v>363</v>
      </c>
      <c r="C451" s="1" t="s">
        <v>206</v>
      </c>
      <c r="D451" s="1" t="s">
        <v>18</v>
      </c>
      <c r="E451" s="1" t="s">
        <v>368</v>
      </c>
      <c r="F451" s="1" t="s">
        <v>16</v>
      </c>
      <c r="G451" s="1"/>
      <c r="H451" s="1"/>
      <c r="I451" s="1"/>
      <c r="J451" s="1"/>
      <c r="K451" s="1"/>
      <c r="L451" s="41">
        <f>L452+L463</f>
        <v>103830.29999999999</v>
      </c>
      <c r="M451" s="41">
        <f>M452+M463</f>
        <v>102332.63753000001</v>
      </c>
      <c r="N451" s="46">
        <f t="shared" si="26"/>
        <v>98.557586301879141</v>
      </c>
    </row>
    <row r="452" spans="1:14" ht="62.4" outlineLevel="5">
      <c r="A452" s="2" t="s">
        <v>380</v>
      </c>
      <c r="B452" s="1" t="s">
        <v>363</v>
      </c>
      <c r="C452" s="1" t="s">
        <v>206</v>
      </c>
      <c r="D452" s="1" t="s">
        <v>18</v>
      </c>
      <c r="E452" s="1" t="s">
        <v>381</v>
      </c>
      <c r="F452" s="1" t="s">
        <v>16</v>
      </c>
      <c r="G452" s="1"/>
      <c r="H452" s="1"/>
      <c r="I452" s="1"/>
      <c r="J452" s="1"/>
      <c r="K452" s="1"/>
      <c r="L452" s="41">
        <f>L453+L455+L457+L459+L461</f>
        <v>23907</v>
      </c>
      <c r="M452" s="41">
        <f>M453+M455+M457+M459+M461</f>
        <v>22752.028740000002</v>
      </c>
      <c r="N452" s="46">
        <f t="shared" si="26"/>
        <v>95.168899234533825</v>
      </c>
    </row>
    <row r="453" spans="1:14" ht="31.2" outlineLevel="6">
      <c r="A453" s="2" t="s">
        <v>382</v>
      </c>
      <c r="B453" s="1" t="s">
        <v>363</v>
      </c>
      <c r="C453" s="1" t="s">
        <v>206</v>
      </c>
      <c r="D453" s="1" t="s">
        <v>18</v>
      </c>
      <c r="E453" s="1" t="s">
        <v>383</v>
      </c>
      <c r="F453" s="1" t="s">
        <v>16</v>
      </c>
      <c r="G453" s="1"/>
      <c r="H453" s="1"/>
      <c r="I453" s="1"/>
      <c r="J453" s="1"/>
      <c r="K453" s="1"/>
      <c r="L453" s="41">
        <f>L454</f>
        <v>13</v>
      </c>
      <c r="M453" s="41">
        <f>M454</f>
        <v>13</v>
      </c>
      <c r="N453" s="46">
        <f t="shared" si="26"/>
        <v>100</v>
      </c>
    </row>
    <row r="454" spans="1:14" ht="62.4" outlineLevel="7">
      <c r="A454" s="2" t="s">
        <v>90</v>
      </c>
      <c r="B454" s="1" t="s">
        <v>363</v>
      </c>
      <c r="C454" s="1" t="s">
        <v>206</v>
      </c>
      <c r="D454" s="1" t="s">
        <v>18</v>
      </c>
      <c r="E454" s="1" t="s">
        <v>383</v>
      </c>
      <c r="F454" s="1" t="s">
        <v>91</v>
      </c>
      <c r="G454" s="1"/>
      <c r="H454" s="1"/>
      <c r="I454" s="1"/>
      <c r="J454" s="1"/>
      <c r="K454" s="1"/>
      <c r="L454" s="41">
        <f>14.5-1.5</f>
        <v>13</v>
      </c>
      <c r="M454" s="41">
        <f>14.5-1.5</f>
        <v>13</v>
      </c>
      <c r="N454" s="46">
        <f t="shared" si="26"/>
        <v>100</v>
      </c>
    </row>
    <row r="455" spans="1:14" ht="78" outlineLevel="6">
      <c r="A455" s="2" t="s">
        <v>384</v>
      </c>
      <c r="B455" s="1" t="s">
        <v>363</v>
      </c>
      <c r="C455" s="1" t="s">
        <v>206</v>
      </c>
      <c r="D455" s="1" t="s">
        <v>18</v>
      </c>
      <c r="E455" s="1" t="s">
        <v>385</v>
      </c>
      <c r="F455" s="1" t="s">
        <v>16</v>
      </c>
      <c r="G455" s="1"/>
      <c r="H455" s="1"/>
      <c r="I455" s="1"/>
      <c r="J455" s="1"/>
      <c r="K455" s="1"/>
      <c r="L455" s="41">
        <f>L456</f>
        <v>4</v>
      </c>
      <c r="M455" s="41">
        <f>M456</f>
        <v>4</v>
      </c>
      <c r="N455" s="46">
        <f t="shared" si="26"/>
        <v>100</v>
      </c>
    </row>
    <row r="456" spans="1:14" ht="62.4" outlineLevel="7">
      <c r="A456" s="2" t="s">
        <v>90</v>
      </c>
      <c r="B456" s="1" t="s">
        <v>363</v>
      </c>
      <c r="C456" s="1" t="s">
        <v>206</v>
      </c>
      <c r="D456" s="1" t="s">
        <v>18</v>
      </c>
      <c r="E456" s="1" t="s">
        <v>385</v>
      </c>
      <c r="F456" s="1" t="s">
        <v>91</v>
      </c>
      <c r="G456" s="1"/>
      <c r="H456" s="1"/>
      <c r="I456" s="1"/>
      <c r="J456" s="1"/>
      <c r="K456" s="1"/>
      <c r="L456" s="41">
        <f>5-1</f>
        <v>4</v>
      </c>
      <c r="M456" s="41">
        <f>5-1</f>
        <v>4</v>
      </c>
      <c r="N456" s="46">
        <f t="shared" si="26"/>
        <v>100</v>
      </c>
    </row>
    <row r="457" spans="1:14" ht="109.2" outlineLevel="6">
      <c r="A457" s="2" t="s">
        <v>386</v>
      </c>
      <c r="B457" s="1" t="s">
        <v>363</v>
      </c>
      <c r="C457" s="1" t="s">
        <v>206</v>
      </c>
      <c r="D457" s="1" t="s">
        <v>18</v>
      </c>
      <c r="E457" s="1" t="s">
        <v>387</v>
      </c>
      <c r="F457" s="1" t="s">
        <v>16</v>
      </c>
      <c r="G457" s="1"/>
      <c r="H457" s="1"/>
      <c r="I457" s="1"/>
      <c r="J457" s="1"/>
      <c r="K457" s="1"/>
      <c r="L457" s="41">
        <f>L458</f>
        <v>88</v>
      </c>
      <c r="M457" s="41">
        <f>M458</f>
        <v>80.466999999999999</v>
      </c>
      <c r="N457" s="46">
        <f t="shared" si="26"/>
        <v>91.439772727272725</v>
      </c>
    </row>
    <row r="458" spans="1:14" ht="62.4" outlineLevel="7">
      <c r="A458" s="2" t="s">
        <v>90</v>
      </c>
      <c r="B458" s="1" t="s">
        <v>363</v>
      </c>
      <c r="C458" s="1" t="s">
        <v>206</v>
      </c>
      <c r="D458" s="1" t="s">
        <v>18</v>
      </c>
      <c r="E458" s="1" t="s">
        <v>387</v>
      </c>
      <c r="F458" s="1" t="s">
        <v>91</v>
      </c>
      <c r="G458" s="1"/>
      <c r="H458" s="1"/>
      <c r="I458" s="1"/>
      <c r="J458" s="1"/>
      <c r="K458" s="1"/>
      <c r="L458" s="41">
        <v>88</v>
      </c>
      <c r="M458" s="44">
        <v>80.466999999999999</v>
      </c>
      <c r="N458" s="46">
        <f t="shared" si="26"/>
        <v>91.439772727272725</v>
      </c>
    </row>
    <row r="459" spans="1:14" ht="93.6" outlineLevel="6">
      <c r="A459" s="2" t="s">
        <v>374</v>
      </c>
      <c r="B459" s="1" t="s">
        <v>363</v>
      </c>
      <c r="C459" s="1" t="s">
        <v>206</v>
      </c>
      <c r="D459" s="1" t="s">
        <v>18</v>
      </c>
      <c r="E459" s="1" t="s">
        <v>388</v>
      </c>
      <c r="F459" s="1" t="s">
        <v>16</v>
      </c>
      <c r="G459" s="1"/>
      <c r="H459" s="1"/>
      <c r="I459" s="1"/>
      <c r="J459" s="1"/>
      <c r="K459" s="1"/>
      <c r="L459" s="41">
        <f>L460</f>
        <v>3500</v>
      </c>
      <c r="M459" s="41">
        <f>M460</f>
        <v>3500</v>
      </c>
      <c r="N459" s="46">
        <f t="shared" si="26"/>
        <v>100</v>
      </c>
    </row>
    <row r="460" spans="1:14" ht="62.4" outlineLevel="7">
      <c r="A460" s="2" t="s">
        <v>90</v>
      </c>
      <c r="B460" s="1" t="s">
        <v>363</v>
      </c>
      <c r="C460" s="1" t="s">
        <v>206</v>
      </c>
      <c r="D460" s="1" t="s">
        <v>18</v>
      </c>
      <c r="E460" s="1" t="s">
        <v>388</v>
      </c>
      <c r="F460" s="1" t="s">
        <v>91</v>
      </c>
      <c r="G460" s="1"/>
      <c r="H460" s="1"/>
      <c r="I460" s="1"/>
      <c r="J460" s="1"/>
      <c r="K460" s="1"/>
      <c r="L460" s="41">
        <v>3500</v>
      </c>
      <c r="M460" s="41">
        <v>3500</v>
      </c>
      <c r="N460" s="46">
        <f t="shared" si="26"/>
        <v>100</v>
      </c>
    </row>
    <row r="461" spans="1:14" ht="31.2" outlineLevel="6">
      <c r="A461" s="2" t="s">
        <v>389</v>
      </c>
      <c r="B461" s="1" t="s">
        <v>363</v>
      </c>
      <c r="C461" s="1" t="s">
        <v>206</v>
      </c>
      <c r="D461" s="1" t="s">
        <v>18</v>
      </c>
      <c r="E461" s="1" t="s">
        <v>390</v>
      </c>
      <c r="F461" s="1" t="s">
        <v>16</v>
      </c>
      <c r="G461" s="1"/>
      <c r="H461" s="1"/>
      <c r="I461" s="1"/>
      <c r="J461" s="1"/>
      <c r="K461" s="1"/>
      <c r="L461" s="41">
        <f>L462</f>
        <v>20302</v>
      </c>
      <c r="M461" s="41">
        <f>M462</f>
        <v>19154.561740000001</v>
      </c>
      <c r="N461" s="46">
        <f t="shared" si="26"/>
        <v>94.348151610678755</v>
      </c>
    </row>
    <row r="462" spans="1:14" ht="62.4" outlineLevel="7">
      <c r="A462" s="2" t="s">
        <v>90</v>
      </c>
      <c r="B462" s="1" t="s">
        <v>363</v>
      </c>
      <c r="C462" s="1" t="s">
        <v>206</v>
      </c>
      <c r="D462" s="1" t="s">
        <v>18</v>
      </c>
      <c r="E462" s="1" t="s">
        <v>390</v>
      </c>
      <c r="F462" s="1" t="s">
        <v>91</v>
      </c>
      <c r="G462" s="1"/>
      <c r="H462" s="1"/>
      <c r="I462" s="1"/>
      <c r="J462" s="1"/>
      <c r="K462" s="1"/>
      <c r="L462" s="41">
        <f>20561.8-259.8</f>
        <v>20302</v>
      </c>
      <c r="M462" s="44">
        <v>19154.561740000001</v>
      </c>
      <c r="N462" s="46">
        <f t="shared" si="26"/>
        <v>94.348151610678755</v>
      </c>
    </row>
    <row r="463" spans="1:14" ht="62.4" outlineLevel="5">
      <c r="A463" s="2" t="s">
        <v>391</v>
      </c>
      <c r="B463" s="1" t="s">
        <v>363</v>
      </c>
      <c r="C463" s="1" t="s">
        <v>206</v>
      </c>
      <c r="D463" s="1" t="s">
        <v>18</v>
      </c>
      <c r="E463" s="1" t="s">
        <v>392</v>
      </c>
      <c r="F463" s="1" t="s">
        <v>16</v>
      </c>
      <c r="G463" s="1"/>
      <c r="H463" s="1"/>
      <c r="I463" s="1"/>
      <c r="J463" s="1"/>
      <c r="K463" s="1"/>
      <c r="L463" s="41">
        <f>L464+L466+L468+L474+L470+L472</f>
        <v>79923.299999999988</v>
      </c>
      <c r="M463" s="41">
        <f>M464+M466+M468+M474+M470+M472</f>
        <v>79580.608789999998</v>
      </c>
      <c r="N463" s="46">
        <f t="shared" si="26"/>
        <v>99.571224899372297</v>
      </c>
    </row>
    <row r="464" spans="1:14" ht="46.8" outlineLevel="6">
      <c r="A464" s="2" t="s">
        <v>393</v>
      </c>
      <c r="B464" s="1" t="s">
        <v>363</v>
      </c>
      <c r="C464" s="1" t="s">
        <v>206</v>
      </c>
      <c r="D464" s="1" t="s">
        <v>18</v>
      </c>
      <c r="E464" s="1" t="s">
        <v>394</v>
      </c>
      <c r="F464" s="1" t="s">
        <v>16</v>
      </c>
      <c r="G464" s="1"/>
      <c r="H464" s="1"/>
      <c r="I464" s="1"/>
      <c r="J464" s="1"/>
      <c r="K464" s="1"/>
      <c r="L464" s="41">
        <f>L465</f>
        <v>5</v>
      </c>
      <c r="M464" s="41">
        <f>M465</f>
        <v>5</v>
      </c>
      <c r="N464" s="46">
        <f t="shared" si="26"/>
        <v>100</v>
      </c>
    </row>
    <row r="465" spans="1:14" ht="62.4" outlineLevel="7">
      <c r="A465" s="2" t="s">
        <v>90</v>
      </c>
      <c r="B465" s="1" t="s">
        <v>363</v>
      </c>
      <c r="C465" s="1" t="s">
        <v>206</v>
      </c>
      <c r="D465" s="1" t="s">
        <v>18</v>
      </c>
      <c r="E465" s="1" t="s">
        <v>394</v>
      </c>
      <c r="F465" s="1" t="s">
        <v>91</v>
      </c>
      <c r="G465" s="1"/>
      <c r="H465" s="1"/>
      <c r="I465" s="1"/>
      <c r="J465" s="1"/>
      <c r="K465" s="1"/>
      <c r="L465" s="41">
        <v>5</v>
      </c>
      <c r="M465" s="41">
        <v>5</v>
      </c>
      <c r="N465" s="46">
        <f t="shared" si="26"/>
        <v>100</v>
      </c>
    </row>
    <row r="466" spans="1:14" ht="109.2" outlineLevel="6">
      <c r="A466" s="2" t="s">
        <v>386</v>
      </c>
      <c r="B466" s="1" t="s">
        <v>363</v>
      </c>
      <c r="C466" s="1" t="s">
        <v>206</v>
      </c>
      <c r="D466" s="1" t="s">
        <v>18</v>
      </c>
      <c r="E466" s="1" t="s">
        <v>395</v>
      </c>
      <c r="F466" s="1" t="s">
        <v>16</v>
      </c>
      <c r="G466" s="1"/>
      <c r="H466" s="1"/>
      <c r="I466" s="1"/>
      <c r="J466" s="1"/>
      <c r="K466" s="1"/>
      <c r="L466" s="41">
        <f>L467</f>
        <v>195</v>
      </c>
      <c r="M466" s="41">
        <f>M467</f>
        <v>182.74100000000001</v>
      </c>
      <c r="N466" s="46">
        <f t="shared" si="26"/>
        <v>93.713333333333338</v>
      </c>
    </row>
    <row r="467" spans="1:14" ht="62.4" outlineLevel="7">
      <c r="A467" s="2" t="s">
        <v>90</v>
      </c>
      <c r="B467" s="1" t="s">
        <v>363</v>
      </c>
      <c r="C467" s="1" t="s">
        <v>206</v>
      </c>
      <c r="D467" s="1" t="s">
        <v>18</v>
      </c>
      <c r="E467" s="1" t="s">
        <v>395</v>
      </c>
      <c r="F467" s="1" t="s">
        <v>91</v>
      </c>
      <c r="G467" s="1"/>
      <c r="H467" s="1"/>
      <c r="I467" s="1"/>
      <c r="J467" s="1"/>
      <c r="K467" s="1"/>
      <c r="L467" s="41">
        <v>195</v>
      </c>
      <c r="M467" s="44">
        <v>182.74100000000001</v>
      </c>
      <c r="N467" s="46">
        <f t="shared" si="26"/>
        <v>93.713333333333338</v>
      </c>
    </row>
    <row r="468" spans="1:14" ht="93.6" outlineLevel="6">
      <c r="A468" s="2" t="s">
        <v>374</v>
      </c>
      <c r="B468" s="1" t="s">
        <v>363</v>
      </c>
      <c r="C468" s="1" t="s">
        <v>206</v>
      </c>
      <c r="D468" s="1" t="s">
        <v>18</v>
      </c>
      <c r="E468" s="1" t="s">
        <v>396</v>
      </c>
      <c r="F468" s="1" t="s">
        <v>16</v>
      </c>
      <c r="G468" s="1"/>
      <c r="H468" s="1"/>
      <c r="I468" s="1"/>
      <c r="J468" s="1"/>
      <c r="K468" s="1"/>
      <c r="L468" s="41">
        <f>L469</f>
        <v>10075</v>
      </c>
      <c r="M468" s="41">
        <f>M469</f>
        <v>10075</v>
      </c>
      <c r="N468" s="46">
        <f t="shared" si="26"/>
        <v>100</v>
      </c>
    </row>
    <row r="469" spans="1:14" ht="62.4" outlineLevel="7">
      <c r="A469" s="2" t="s">
        <v>90</v>
      </c>
      <c r="B469" s="1" t="s">
        <v>363</v>
      </c>
      <c r="C469" s="1" t="s">
        <v>206</v>
      </c>
      <c r="D469" s="1" t="s">
        <v>18</v>
      </c>
      <c r="E469" s="1" t="s">
        <v>396</v>
      </c>
      <c r="F469" s="1" t="s">
        <v>91</v>
      </c>
      <c r="G469" s="1"/>
      <c r="H469" s="1"/>
      <c r="I469" s="1"/>
      <c r="J469" s="1"/>
      <c r="K469" s="1"/>
      <c r="L469" s="41">
        <f>9013+1062</f>
        <v>10075</v>
      </c>
      <c r="M469" s="41">
        <f>9013+1062</f>
        <v>10075</v>
      </c>
      <c r="N469" s="46">
        <f t="shared" si="26"/>
        <v>100</v>
      </c>
    </row>
    <row r="470" spans="1:14" ht="62.4" outlineLevel="7">
      <c r="A470" s="2" t="s">
        <v>671</v>
      </c>
      <c r="B470" s="1" t="s">
        <v>363</v>
      </c>
      <c r="C470" s="1" t="s">
        <v>206</v>
      </c>
      <c r="D470" s="1" t="s">
        <v>18</v>
      </c>
      <c r="E470" s="1" t="s">
        <v>672</v>
      </c>
      <c r="F470" s="1" t="s">
        <v>16</v>
      </c>
      <c r="G470" s="1"/>
      <c r="H470" s="1"/>
      <c r="I470" s="1"/>
      <c r="J470" s="1"/>
      <c r="K470" s="1"/>
      <c r="L470" s="41">
        <f>L471</f>
        <v>20000</v>
      </c>
      <c r="M470" s="41">
        <f>M471</f>
        <v>20000</v>
      </c>
      <c r="N470" s="46">
        <f t="shared" si="26"/>
        <v>100</v>
      </c>
    </row>
    <row r="471" spans="1:14" ht="50.4" customHeight="1" outlineLevel="7">
      <c r="A471" s="2" t="s">
        <v>90</v>
      </c>
      <c r="B471" s="1" t="s">
        <v>363</v>
      </c>
      <c r="C471" s="1" t="s">
        <v>206</v>
      </c>
      <c r="D471" s="1" t="s">
        <v>18</v>
      </c>
      <c r="E471" s="1" t="s">
        <v>672</v>
      </c>
      <c r="F471" s="1" t="s">
        <v>91</v>
      </c>
      <c r="G471" s="1"/>
      <c r="H471" s="1"/>
      <c r="I471" s="1"/>
      <c r="J471" s="1"/>
      <c r="K471" s="1"/>
      <c r="L471" s="41">
        <v>20000</v>
      </c>
      <c r="M471" s="41">
        <v>20000</v>
      </c>
      <c r="N471" s="46">
        <f t="shared" si="26"/>
        <v>100</v>
      </c>
    </row>
    <row r="472" spans="1:14" ht="34.950000000000003" customHeight="1" outlineLevel="7">
      <c r="A472" s="2" t="s">
        <v>681</v>
      </c>
      <c r="B472" s="1" t="s">
        <v>363</v>
      </c>
      <c r="C472" s="1" t="s">
        <v>206</v>
      </c>
      <c r="D472" s="1" t="s">
        <v>18</v>
      </c>
      <c r="E472" s="1" t="s">
        <v>682</v>
      </c>
      <c r="F472" s="1" t="s">
        <v>16</v>
      </c>
      <c r="G472" s="1"/>
      <c r="H472" s="1"/>
      <c r="I472" s="1"/>
      <c r="J472" s="1"/>
      <c r="K472" s="1"/>
      <c r="L472" s="41">
        <f>L473</f>
        <v>10000</v>
      </c>
      <c r="M472" s="41">
        <f>M473</f>
        <v>10000</v>
      </c>
      <c r="N472" s="46">
        <f t="shared" si="26"/>
        <v>100</v>
      </c>
    </row>
    <row r="473" spans="1:14" ht="50.4" customHeight="1" outlineLevel="7">
      <c r="A473" s="2" t="s">
        <v>90</v>
      </c>
      <c r="B473" s="1" t="s">
        <v>363</v>
      </c>
      <c r="C473" s="1" t="s">
        <v>206</v>
      </c>
      <c r="D473" s="1" t="s">
        <v>18</v>
      </c>
      <c r="E473" s="1" t="s">
        <v>682</v>
      </c>
      <c r="F473" s="1" t="s">
        <v>91</v>
      </c>
      <c r="G473" s="1"/>
      <c r="H473" s="1"/>
      <c r="I473" s="1"/>
      <c r="J473" s="1"/>
      <c r="K473" s="1"/>
      <c r="L473" s="41">
        <v>10000</v>
      </c>
      <c r="M473" s="41">
        <v>10000</v>
      </c>
      <c r="N473" s="46">
        <f t="shared" si="26"/>
        <v>100</v>
      </c>
    </row>
    <row r="474" spans="1:14" ht="31.2" outlineLevel="6">
      <c r="A474" s="2" t="s">
        <v>397</v>
      </c>
      <c r="B474" s="1" t="s">
        <v>363</v>
      </c>
      <c r="C474" s="1" t="s">
        <v>206</v>
      </c>
      <c r="D474" s="1" t="s">
        <v>18</v>
      </c>
      <c r="E474" s="1" t="s">
        <v>398</v>
      </c>
      <c r="F474" s="1" t="s">
        <v>16</v>
      </c>
      <c r="G474" s="1"/>
      <c r="H474" s="1"/>
      <c r="I474" s="1"/>
      <c r="J474" s="1"/>
      <c r="K474" s="1"/>
      <c r="L474" s="41">
        <f>L475</f>
        <v>39648.299999999996</v>
      </c>
      <c r="M474" s="41">
        <f>M475</f>
        <v>39317.867789999997</v>
      </c>
      <c r="N474" s="46">
        <f t="shared" si="26"/>
        <v>99.166591732810744</v>
      </c>
    </row>
    <row r="475" spans="1:14" ht="58.5" customHeight="1" outlineLevel="7">
      <c r="A475" s="2" t="s">
        <v>90</v>
      </c>
      <c r="B475" s="1" t="s">
        <v>363</v>
      </c>
      <c r="C475" s="1" t="s">
        <v>206</v>
      </c>
      <c r="D475" s="1" t="s">
        <v>18</v>
      </c>
      <c r="E475" s="1" t="s">
        <v>398</v>
      </c>
      <c r="F475" s="1" t="s">
        <v>91</v>
      </c>
      <c r="G475" s="1"/>
      <c r="H475" s="1"/>
      <c r="I475" s="1"/>
      <c r="J475" s="1"/>
      <c r="K475" s="1"/>
      <c r="L475" s="41">
        <f>38256.6-96.9+10000-9566.4+1825-770</f>
        <v>39648.299999999996</v>
      </c>
      <c r="M475" s="44">
        <v>39317.867789999997</v>
      </c>
      <c r="N475" s="46">
        <f t="shared" si="26"/>
        <v>99.166591732810744</v>
      </c>
    </row>
    <row r="476" spans="1:14" ht="31.2" outlineLevel="2">
      <c r="A476" s="5" t="s">
        <v>399</v>
      </c>
      <c r="B476" s="6" t="s">
        <v>363</v>
      </c>
      <c r="C476" s="6" t="s">
        <v>206</v>
      </c>
      <c r="D476" s="6" t="s">
        <v>32</v>
      </c>
      <c r="E476" s="6"/>
      <c r="F476" s="6"/>
      <c r="G476" s="6"/>
      <c r="H476" s="6"/>
      <c r="I476" s="6"/>
      <c r="J476" s="6"/>
      <c r="K476" s="6"/>
      <c r="L476" s="40">
        <f>L477</f>
        <v>8581</v>
      </c>
      <c r="M476" s="40">
        <f>M477</f>
        <v>8468.036970000001</v>
      </c>
      <c r="N476" s="47">
        <f t="shared" si="26"/>
        <v>98.683567999067719</v>
      </c>
    </row>
    <row r="477" spans="1:14" ht="46.8" outlineLevel="3">
      <c r="A477" s="2" t="s">
        <v>367</v>
      </c>
      <c r="B477" s="1" t="s">
        <v>363</v>
      </c>
      <c r="C477" s="1" t="s">
        <v>206</v>
      </c>
      <c r="D477" s="1" t="s">
        <v>32</v>
      </c>
      <c r="E477" s="1" t="s">
        <v>368</v>
      </c>
      <c r="F477" s="1" t="s">
        <v>16</v>
      </c>
      <c r="G477" s="1"/>
      <c r="H477" s="1"/>
      <c r="I477" s="1"/>
      <c r="J477" s="1"/>
      <c r="K477" s="1"/>
      <c r="L477" s="41">
        <f>L478</f>
        <v>8581</v>
      </c>
      <c r="M477" s="41">
        <f>M478</f>
        <v>8468.036970000001</v>
      </c>
      <c r="N477" s="46">
        <f t="shared" si="26"/>
        <v>98.683567999067719</v>
      </c>
    </row>
    <row r="478" spans="1:14" ht="46.8" outlineLevel="5">
      <c r="A478" s="2" t="s">
        <v>69</v>
      </c>
      <c r="B478" s="1" t="s">
        <v>363</v>
      </c>
      <c r="C478" s="1" t="s">
        <v>206</v>
      </c>
      <c r="D478" s="1" t="s">
        <v>32</v>
      </c>
      <c r="E478" s="1" t="s">
        <v>400</v>
      </c>
      <c r="F478" s="1" t="s">
        <v>16</v>
      </c>
      <c r="G478" s="1"/>
      <c r="H478" s="1"/>
      <c r="I478" s="1"/>
      <c r="J478" s="1"/>
      <c r="K478" s="1"/>
      <c r="L478" s="41">
        <f>L479+L481+L483</f>
        <v>8581</v>
      </c>
      <c r="M478" s="41">
        <f>M479+M481+M483</f>
        <v>8468.036970000001</v>
      </c>
      <c r="N478" s="46">
        <f t="shared" si="26"/>
        <v>98.683567999067719</v>
      </c>
    </row>
    <row r="479" spans="1:14" ht="31.2" outlineLevel="6">
      <c r="A479" s="2" t="s">
        <v>33</v>
      </c>
      <c r="B479" s="1" t="s">
        <v>363</v>
      </c>
      <c r="C479" s="1" t="s">
        <v>206</v>
      </c>
      <c r="D479" s="1" t="s">
        <v>32</v>
      </c>
      <c r="E479" s="1" t="s">
        <v>401</v>
      </c>
      <c r="F479" s="1" t="s">
        <v>16</v>
      </c>
      <c r="G479" s="1"/>
      <c r="H479" s="1"/>
      <c r="I479" s="1"/>
      <c r="J479" s="1"/>
      <c r="K479" s="1"/>
      <c r="L479" s="41">
        <f>L480</f>
        <v>3821</v>
      </c>
      <c r="M479" s="41">
        <f>M480</f>
        <v>3801.3869500000001</v>
      </c>
      <c r="N479" s="46">
        <f t="shared" si="26"/>
        <v>99.486703742475797</v>
      </c>
    </row>
    <row r="480" spans="1:14" ht="105" customHeight="1" outlineLevel="7">
      <c r="A480" s="2" t="s">
        <v>29</v>
      </c>
      <c r="B480" s="1" t="s">
        <v>363</v>
      </c>
      <c r="C480" s="1" t="s">
        <v>206</v>
      </c>
      <c r="D480" s="1" t="s">
        <v>32</v>
      </c>
      <c r="E480" s="1" t="s">
        <v>401</v>
      </c>
      <c r="F480" s="1" t="s">
        <v>30</v>
      </c>
      <c r="G480" s="1"/>
      <c r="H480" s="1"/>
      <c r="I480" s="1"/>
      <c r="J480" s="1"/>
      <c r="K480" s="1"/>
      <c r="L480" s="41">
        <v>3821</v>
      </c>
      <c r="M480" s="44">
        <v>3801.3869500000001</v>
      </c>
      <c r="N480" s="46">
        <f t="shared" si="26"/>
        <v>99.486703742475797</v>
      </c>
    </row>
    <row r="481" spans="1:14" ht="31.2" outlineLevel="6">
      <c r="A481" s="2" t="s">
        <v>35</v>
      </c>
      <c r="B481" s="1" t="s">
        <v>363</v>
      </c>
      <c r="C481" s="1" t="s">
        <v>206</v>
      </c>
      <c r="D481" s="1" t="s">
        <v>32</v>
      </c>
      <c r="E481" s="1" t="s">
        <v>402</v>
      </c>
      <c r="F481" s="1" t="s">
        <v>16</v>
      </c>
      <c r="G481" s="1"/>
      <c r="H481" s="1"/>
      <c r="I481" s="1"/>
      <c r="J481" s="1"/>
      <c r="K481" s="1"/>
      <c r="L481" s="41">
        <f>L482</f>
        <v>40</v>
      </c>
      <c r="M481" s="41">
        <f>M482</f>
        <v>35.914200000000001</v>
      </c>
      <c r="N481" s="46">
        <f t="shared" si="26"/>
        <v>89.785500000000013</v>
      </c>
    </row>
    <row r="482" spans="1:14" ht="46.8" outlineLevel="7">
      <c r="A482" s="2" t="s">
        <v>41</v>
      </c>
      <c r="B482" s="1" t="s">
        <v>363</v>
      </c>
      <c r="C482" s="1" t="s">
        <v>206</v>
      </c>
      <c r="D482" s="1" t="s">
        <v>32</v>
      </c>
      <c r="E482" s="1" t="s">
        <v>402</v>
      </c>
      <c r="F482" s="1" t="s">
        <v>42</v>
      </c>
      <c r="G482" s="1"/>
      <c r="H482" s="1"/>
      <c r="I482" s="1"/>
      <c r="J482" s="1"/>
      <c r="K482" s="1"/>
      <c r="L482" s="41">
        <v>40</v>
      </c>
      <c r="M482" s="44">
        <v>35.914200000000001</v>
      </c>
      <c r="N482" s="46">
        <f t="shared" si="26"/>
        <v>89.785500000000013</v>
      </c>
    </row>
    <row r="483" spans="1:14" ht="31.2" outlineLevel="6">
      <c r="A483" s="2" t="s">
        <v>61</v>
      </c>
      <c r="B483" s="1" t="s">
        <v>363</v>
      </c>
      <c r="C483" s="1" t="s">
        <v>206</v>
      </c>
      <c r="D483" s="1" t="s">
        <v>32</v>
      </c>
      <c r="E483" s="1" t="s">
        <v>403</v>
      </c>
      <c r="F483" s="1" t="s">
        <v>16</v>
      </c>
      <c r="G483" s="1"/>
      <c r="H483" s="1"/>
      <c r="I483" s="1"/>
      <c r="J483" s="1"/>
      <c r="K483" s="1"/>
      <c r="L483" s="41">
        <f>L484+L485</f>
        <v>4720</v>
      </c>
      <c r="M483" s="41">
        <f>M484+M485</f>
        <v>4630.7358199999999</v>
      </c>
      <c r="N483" s="46">
        <f t="shared" si="26"/>
        <v>98.108809745762699</v>
      </c>
    </row>
    <row r="484" spans="1:14" ht="109.2" outlineLevel="7">
      <c r="A484" s="2" t="s">
        <v>29</v>
      </c>
      <c r="B484" s="1" t="s">
        <v>363</v>
      </c>
      <c r="C484" s="1" t="s">
        <v>206</v>
      </c>
      <c r="D484" s="1" t="s">
        <v>32</v>
      </c>
      <c r="E484" s="1" t="s">
        <v>403</v>
      </c>
      <c r="F484" s="1" t="s">
        <v>30</v>
      </c>
      <c r="G484" s="1"/>
      <c r="H484" s="1"/>
      <c r="I484" s="1"/>
      <c r="J484" s="1"/>
      <c r="K484" s="1"/>
      <c r="L484" s="41">
        <f>4152+33.4</f>
        <v>4185.3999999999996</v>
      </c>
      <c r="M484" s="44">
        <v>4168.2799199999999</v>
      </c>
      <c r="N484" s="46">
        <f t="shared" si="26"/>
        <v>99.590957136713342</v>
      </c>
    </row>
    <row r="485" spans="1:14" ht="46.8" outlineLevel="7">
      <c r="A485" s="2" t="s">
        <v>41</v>
      </c>
      <c r="B485" s="1" t="s">
        <v>363</v>
      </c>
      <c r="C485" s="1" t="s">
        <v>206</v>
      </c>
      <c r="D485" s="1" t="s">
        <v>32</v>
      </c>
      <c r="E485" s="1" t="s">
        <v>403</v>
      </c>
      <c r="F485" s="1" t="s">
        <v>42</v>
      </c>
      <c r="G485" s="1"/>
      <c r="H485" s="1"/>
      <c r="I485" s="1"/>
      <c r="J485" s="1"/>
      <c r="K485" s="1"/>
      <c r="L485" s="41">
        <f>568-33.4</f>
        <v>534.6</v>
      </c>
      <c r="M485" s="44">
        <v>462.45589999999999</v>
      </c>
      <c r="N485" s="46">
        <f t="shared" si="26"/>
        <v>86.505031799476242</v>
      </c>
    </row>
    <row r="486" spans="1:14" ht="15.6" outlineLevel="1">
      <c r="A486" s="3" t="s">
        <v>114</v>
      </c>
      <c r="B486" s="4" t="s">
        <v>363</v>
      </c>
      <c r="C486" s="4" t="s">
        <v>115</v>
      </c>
      <c r="D486" s="4"/>
      <c r="E486" s="4"/>
      <c r="F486" s="4"/>
      <c r="G486" s="4"/>
      <c r="H486" s="4"/>
      <c r="I486" s="4"/>
      <c r="J486" s="4"/>
      <c r="K486" s="4"/>
      <c r="L486" s="39">
        <f t="shared" ref="L486:M490" si="28">L487</f>
        <v>60.9</v>
      </c>
      <c r="M486" s="39">
        <f t="shared" si="28"/>
        <v>56.591999999999999</v>
      </c>
      <c r="N486" s="49">
        <f t="shared" si="26"/>
        <v>92.926108374384242</v>
      </c>
    </row>
    <row r="487" spans="1:14" ht="15.6" outlineLevel="2">
      <c r="A487" s="5" t="s">
        <v>121</v>
      </c>
      <c r="B487" s="6" t="s">
        <v>363</v>
      </c>
      <c r="C487" s="6" t="s">
        <v>115</v>
      </c>
      <c r="D487" s="6" t="s">
        <v>93</v>
      </c>
      <c r="E487" s="6"/>
      <c r="F487" s="6"/>
      <c r="G487" s="6"/>
      <c r="H487" s="6"/>
      <c r="I487" s="6"/>
      <c r="J487" s="6"/>
      <c r="K487" s="6"/>
      <c r="L487" s="40">
        <f t="shared" si="28"/>
        <v>60.9</v>
      </c>
      <c r="M487" s="40">
        <f t="shared" si="28"/>
        <v>56.591999999999999</v>
      </c>
      <c r="N487" s="47">
        <f t="shared" si="26"/>
        <v>92.926108374384242</v>
      </c>
    </row>
    <row r="488" spans="1:14" ht="46.8" outlineLevel="3">
      <c r="A488" s="2" t="s">
        <v>367</v>
      </c>
      <c r="B488" s="1" t="s">
        <v>363</v>
      </c>
      <c r="C488" s="1" t="s">
        <v>115</v>
      </c>
      <c r="D488" s="1" t="s">
        <v>93</v>
      </c>
      <c r="E488" s="1" t="s">
        <v>368</v>
      </c>
      <c r="F488" s="1" t="s">
        <v>16</v>
      </c>
      <c r="G488" s="1"/>
      <c r="H488" s="1"/>
      <c r="I488" s="1"/>
      <c r="J488" s="1"/>
      <c r="K488" s="1"/>
      <c r="L488" s="41">
        <f t="shared" si="28"/>
        <v>60.9</v>
      </c>
      <c r="M488" s="41">
        <f t="shared" si="28"/>
        <v>56.591999999999999</v>
      </c>
      <c r="N488" s="46">
        <f t="shared" si="26"/>
        <v>92.926108374384242</v>
      </c>
    </row>
    <row r="489" spans="1:14" ht="46.8" outlineLevel="5">
      <c r="A489" s="2" t="s">
        <v>69</v>
      </c>
      <c r="B489" s="1" t="s">
        <v>363</v>
      </c>
      <c r="C489" s="1" t="s">
        <v>115</v>
      </c>
      <c r="D489" s="1" t="s">
        <v>93</v>
      </c>
      <c r="E489" s="1" t="s">
        <v>400</v>
      </c>
      <c r="F489" s="1" t="s">
        <v>16</v>
      </c>
      <c r="G489" s="1"/>
      <c r="H489" s="1"/>
      <c r="I489" s="1"/>
      <c r="J489" s="1"/>
      <c r="K489" s="1"/>
      <c r="L489" s="41">
        <f t="shared" si="28"/>
        <v>60.9</v>
      </c>
      <c r="M489" s="41">
        <f t="shared" si="28"/>
        <v>56.591999999999999</v>
      </c>
      <c r="N489" s="46">
        <f t="shared" si="26"/>
        <v>92.926108374384242</v>
      </c>
    </row>
    <row r="490" spans="1:14" ht="109.2" outlineLevel="6">
      <c r="A490" s="2" t="s">
        <v>386</v>
      </c>
      <c r="B490" s="1" t="s">
        <v>363</v>
      </c>
      <c r="C490" s="1" t="s">
        <v>115</v>
      </c>
      <c r="D490" s="1" t="s">
        <v>93</v>
      </c>
      <c r="E490" s="1" t="s">
        <v>404</v>
      </c>
      <c r="F490" s="1" t="s">
        <v>16</v>
      </c>
      <c r="G490" s="1"/>
      <c r="H490" s="1"/>
      <c r="I490" s="1"/>
      <c r="J490" s="1"/>
      <c r="K490" s="1"/>
      <c r="L490" s="41">
        <f t="shared" si="28"/>
        <v>60.9</v>
      </c>
      <c r="M490" s="41">
        <f t="shared" si="28"/>
        <v>56.591999999999999</v>
      </c>
      <c r="N490" s="46">
        <f t="shared" si="26"/>
        <v>92.926108374384242</v>
      </c>
    </row>
    <row r="491" spans="1:14" ht="31.2" outlineLevel="7">
      <c r="A491" s="2" t="s">
        <v>77</v>
      </c>
      <c r="B491" s="1" t="s">
        <v>363</v>
      </c>
      <c r="C491" s="1" t="s">
        <v>115</v>
      </c>
      <c r="D491" s="1" t="s">
        <v>93</v>
      </c>
      <c r="E491" s="1" t="s">
        <v>404</v>
      </c>
      <c r="F491" s="1" t="s">
        <v>78</v>
      </c>
      <c r="G491" s="1"/>
      <c r="H491" s="1"/>
      <c r="I491" s="1"/>
      <c r="J491" s="1"/>
      <c r="K491" s="1"/>
      <c r="L491" s="41">
        <v>60.9</v>
      </c>
      <c r="M491" s="44">
        <v>56.591999999999999</v>
      </c>
      <c r="N491" s="46">
        <f t="shared" si="26"/>
        <v>92.926108374384242</v>
      </c>
    </row>
    <row r="492" spans="1:14" ht="31.2">
      <c r="A492" s="3" t="s">
        <v>405</v>
      </c>
      <c r="B492" s="4" t="s">
        <v>406</v>
      </c>
      <c r="C492" s="4"/>
      <c r="D492" s="4"/>
      <c r="E492" s="4"/>
      <c r="F492" s="4"/>
      <c r="G492" s="4"/>
      <c r="H492" s="4"/>
      <c r="I492" s="4"/>
      <c r="J492" s="4"/>
      <c r="K492" s="4"/>
      <c r="L492" s="39">
        <f>L493+L520</f>
        <v>23717.125</v>
      </c>
      <c r="M492" s="39">
        <f>M493+M520</f>
        <v>22509.786040000003</v>
      </c>
      <c r="N492" s="49">
        <f t="shared" si="26"/>
        <v>94.909421103949171</v>
      </c>
    </row>
    <row r="493" spans="1:14" ht="15.6" outlineLevel="1">
      <c r="A493" s="3" t="s">
        <v>17</v>
      </c>
      <c r="B493" s="4" t="s">
        <v>406</v>
      </c>
      <c r="C493" s="4" t="s">
        <v>18</v>
      </c>
      <c r="D493" s="4"/>
      <c r="E493" s="4"/>
      <c r="F493" s="4"/>
      <c r="G493" s="4"/>
      <c r="H493" s="4"/>
      <c r="I493" s="4"/>
      <c r="J493" s="4"/>
      <c r="K493" s="4"/>
      <c r="L493" s="39">
        <f>L494</f>
        <v>22036.825000000001</v>
      </c>
      <c r="M493" s="39">
        <f>M494</f>
        <v>20895.266360000001</v>
      </c>
      <c r="N493" s="49">
        <f t="shared" si="26"/>
        <v>94.819768092726605</v>
      </c>
    </row>
    <row r="494" spans="1:14" ht="15.6" outlineLevel="2">
      <c r="A494" s="5" t="s">
        <v>49</v>
      </c>
      <c r="B494" s="6" t="s">
        <v>406</v>
      </c>
      <c r="C494" s="6" t="s">
        <v>18</v>
      </c>
      <c r="D494" s="6" t="s">
        <v>50</v>
      </c>
      <c r="E494" s="6"/>
      <c r="F494" s="6"/>
      <c r="G494" s="6"/>
      <c r="H494" s="6"/>
      <c r="I494" s="6"/>
      <c r="J494" s="6"/>
      <c r="K494" s="6"/>
      <c r="L494" s="40">
        <f>L495</f>
        <v>22036.825000000001</v>
      </c>
      <c r="M494" s="40">
        <f>M495</f>
        <v>20895.266360000001</v>
      </c>
      <c r="N494" s="47">
        <f t="shared" si="26"/>
        <v>94.819768092726605</v>
      </c>
    </row>
    <row r="495" spans="1:14" ht="78" outlineLevel="3">
      <c r="A495" s="2" t="s">
        <v>407</v>
      </c>
      <c r="B495" s="1" t="s">
        <v>406</v>
      </c>
      <c r="C495" s="1" t="s">
        <v>18</v>
      </c>
      <c r="D495" s="1" t="s">
        <v>50</v>
      </c>
      <c r="E495" s="1" t="s">
        <v>408</v>
      </c>
      <c r="F495" s="1" t="s">
        <v>16</v>
      </c>
      <c r="G495" s="1"/>
      <c r="H495" s="1"/>
      <c r="I495" s="1"/>
      <c r="J495" s="1"/>
      <c r="K495" s="1"/>
      <c r="L495" s="41">
        <f>L496+L503+L508+L516</f>
        <v>22036.825000000001</v>
      </c>
      <c r="M495" s="41">
        <f>M496+M503+M508+M516</f>
        <v>20895.266360000001</v>
      </c>
      <c r="N495" s="46">
        <f t="shared" si="26"/>
        <v>94.819768092726605</v>
      </c>
    </row>
    <row r="496" spans="1:14" ht="64.5" customHeight="1" outlineLevel="5">
      <c r="A496" s="2" t="s">
        <v>409</v>
      </c>
      <c r="B496" s="1" t="s">
        <v>406</v>
      </c>
      <c r="C496" s="1" t="s">
        <v>18</v>
      </c>
      <c r="D496" s="1" t="s">
        <v>50</v>
      </c>
      <c r="E496" s="1" t="s">
        <v>410</v>
      </c>
      <c r="F496" s="1" t="s">
        <v>16</v>
      </c>
      <c r="G496" s="1"/>
      <c r="H496" s="1"/>
      <c r="I496" s="1"/>
      <c r="J496" s="1"/>
      <c r="K496" s="1"/>
      <c r="L496" s="41">
        <f>L497+L499+L501</f>
        <v>840.7</v>
      </c>
      <c r="M496" s="41">
        <f>M497+M499+M501</f>
        <v>663.88184000000001</v>
      </c>
      <c r="N496" s="46">
        <f t="shared" si="26"/>
        <v>78.967745926014032</v>
      </c>
    </row>
    <row r="497" spans="1:14" ht="31.2" outlineLevel="6">
      <c r="A497" s="2" t="s">
        <v>411</v>
      </c>
      <c r="B497" s="1" t="s">
        <v>406</v>
      </c>
      <c r="C497" s="1" t="s">
        <v>18</v>
      </c>
      <c r="D497" s="1" t="s">
        <v>50</v>
      </c>
      <c r="E497" s="1" t="s">
        <v>412</v>
      </c>
      <c r="F497" s="1" t="s">
        <v>16</v>
      </c>
      <c r="G497" s="1"/>
      <c r="H497" s="1"/>
      <c r="I497" s="1"/>
      <c r="J497" s="1"/>
      <c r="K497" s="1"/>
      <c r="L497" s="41">
        <f>L498</f>
        <v>223.2</v>
      </c>
      <c r="M497" s="41">
        <f>M498</f>
        <v>197.94499999999999</v>
      </c>
      <c r="N497" s="46">
        <f t="shared" si="26"/>
        <v>88.685035842293914</v>
      </c>
    </row>
    <row r="498" spans="1:14" ht="46.8" outlineLevel="7">
      <c r="A498" s="2" t="s">
        <v>41</v>
      </c>
      <c r="B498" s="1" t="s">
        <v>406</v>
      </c>
      <c r="C498" s="1" t="s">
        <v>18</v>
      </c>
      <c r="D498" s="1" t="s">
        <v>50</v>
      </c>
      <c r="E498" s="1" t="s">
        <v>412</v>
      </c>
      <c r="F498" s="1" t="s">
        <v>42</v>
      </c>
      <c r="G498" s="1"/>
      <c r="H498" s="1"/>
      <c r="I498" s="1"/>
      <c r="J498" s="1"/>
      <c r="K498" s="1"/>
      <c r="L498" s="41">
        <f>153+70.2</f>
        <v>223.2</v>
      </c>
      <c r="M498" s="44">
        <v>197.94499999999999</v>
      </c>
      <c r="N498" s="46">
        <f t="shared" si="26"/>
        <v>88.685035842293914</v>
      </c>
    </row>
    <row r="499" spans="1:14" ht="15.6" outlineLevel="6">
      <c r="A499" s="2" t="s">
        <v>413</v>
      </c>
      <c r="B499" s="1" t="s">
        <v>406</v>
      </c>
      <c r="C499" s="1" t="s">
        <v>18</v>
      </c>
      <c r="D499" s="1" t="s">
        <v>50</v>
      </c>
      <c r="E499" s="1" t="s">
        <v>414</v>
      </c>
      <c r="F499" s="1" t="s">
        <v>16</v>
      </c>
      <c r="G499" s="1"/>
      <c r="H499" s="1"/>
      <c r="I499" s="1"/>
      <c r="J499" s="1"/>
      <c r="K499" s="1"/>
      <c r="L499" s="41">
        <f>L500</f>
        <v>225</v>
      </c>
      <c r="M499" s="41">
        <f>M500</f>
        <v>139.53684000000001</v>
      </c>
      <c r="N499" s="46">
        <f t="shared" ref="N499:N562" si="29">M499/L499*100</f>
        <v>62.016373333333341</v>
      </c>
    </row>
    <row r="500" spans="1:14" ht="46.8" outlineLevel="7">
      <c r="A500" s="2" t="s">
        <v>41</v>
      </c>
      <c r="B500" s="1" t="s">
        <v>406</v>
      </c>
      <c r="C500" s="1" t="s">
        <v>18</v>
      </c>
      <c r="D500" s="1" t="s">
        <v>50</v>
      </c>
      <c r="E500" s="1" t="s">
        <v>414</v>
      </c>
      <c r="F500" s="1" t="s">
        <v>42</v>
      </c>
      <c r="G500" s="1"/>
      <c r="H500" s="1"/>
      <c r="I500" s="1"/>
      <c r="J500" s="1"/>
      <c r="K500" s="1"/>
      <c r="L500" s="41">
        <v>225</v>
      </c>
      <c r="M500" s="44">
        <v>139.53684000000001</v>
      </c>
      <c r="N500" s="46">
        <f t="shared" si="29"/>
        <v>62.016373333333341</v>
      </c>
    </row>
    <row r="501" spans="1:14" ht="31.2" outlineLevel="6">
      <c r="A501" s="2" t="s">
        <v>415</v>
      </c>
      <c r="B501" s="1" t="s">
        <v>406</v>
      </c>
      <c r="C501" s="1" t="s">
        <v>18</v>
      </c>
      <c r="D501" s="1" t="s">
        <v>50</v>
      </c>
      <c r="E501" s="1" t="s">
        <v>416</v>
      </c>
      <c r="F501" s="1" t="s">
        <v>16</v>
      </c>
      <c r="G501" s="1"/>
      <c r="H501" s="1"/>
      <c r="I501" s="1"/>
      <c r="J501" s="1"/>
      <c r="K501" s="1"/>
      <c r="L501" s="41">
        <f>L502</f>
        <v>392.5</v>
      </c>
      <c r="M501" s="41">
        <f>M502</f>
        <v>326.39999999999998</v>
      </c>
      <c r="N501" s="46">
        <f t="shared" si="29"/>
        <v>83.159235668789805</v>
      </c>
    </row>
    <row r="502" spans="1:14" ht="46.8" outlineLevel="7">
      <c r="A502" s="2" t="s">
        <v>41</v>
      </c>
      <c r="B502" s="1" t="s">
        <v>406</v>
      </c>
      <c r="C502" s="1" t="s">
        <v>18</v>
      </c>
      <c r="D502" s="1" t="s">
        <v>50</v>
      </c>
      <c r="E502" s="1" t="s">
        <v>416</v>
      </c>
      <c r="F502" s="1" t="s">
        <v>42</v>
      </c>
      <c r="G502" s="1"/>
      <c r="H502" s="1"/>
      <c r="I502" s="1"/>
      <c r="J502" s="1"/>
      <c r="K502" s="1"/>
      <c r="L502" s="41">
        <v>392.5</v>
      </c>
      <c r="M502" s="44">
        <v>326.39999999999998</v>
      </c>
      <c r="N502" s="46">
        <f t="shared" si="29"/>
        <v>83.159235668789805</v>
      </c>
    </row>
    <row r="503" spans="1:14" ht="31.2" outlineLevel="5">
      <c r="A503" s="2" t="s">
        <v>417</v>
      </c>
      <c r="B503" s="1" t="s">
        <v>406</v>
      </c>
      <c r="C503" s="1" t="s">
        <v>18</v>
      </c>
      <c r="D503" s="1" t="s">
        <v>50</v>
      </c>
      <c r="E503" s="1" t="s">
        <v>418</v>
      </c>
      <c r="F503" s="1" t="s">
        <v>16</v>
      </c>
      <c r="G503" s="1"/>
      <c r="H503" s="1"/>
      <c r="I503" s="1"/>
      <c r="J503" s="1"/>
      <c r="K503" s="1"/>
      <c r="L503" s="41">
        <f>L504+L506</f>
        <v>460.3</v>
      </c>
      <c r="M503" s="41">
        <f>M504+M506</f>
        <v>423.95254999999997</v>
      </c>
      <c r="N503" s="46">
        <f t="shared" si="29"/>
        <v>92.103530306321957</v>
      </c>
    </row>
    <row r="504" spans="1:14" ht="31.2" outlineLevel="6">
      <c r="A504" s="2" t="s">
        <v>306</v>
      </c>
      <c r="B504" s="1" t="s">
        <v>406</v>
      </c>
      <c r="C504" s="1" t="s">
        <v>18</v>
      </c>
      <c r="D504" s="1" t="s">
        <v>50</v>
      </c>
      <c r="E504" s="1" t="s">
        <v>419</v>
      </c>
      <c r="F504" s="1" t="s">
        <v>16</v>
      </c>
      <c r="G504" s="1"/>
      <c r="H504" s="1"/>
      <c r="I504" s="1"/>
      <c r="J504" s="1"/>
      <c r="K504" s="1"/>
      <c r="L504" s="41">
        <f>L505</f>
        <v>32</v>
      </c>
      <c r="M504" s="41">
        <f>M505</f>
        <v>28.965</v>
      </c>
      <c r="N504" s="46">
        <f t="shared" si="29"/>
        <v>90.515625</v>
      </c>
    </row>
    <row r="505" spans="1:14" ht="15.6" outlineLevel="7">
      <c r="A505" s="2" t="s">
        <v>59</v>
      </c>
      <c r="B505" s="1" t="s">
        <v>406</v>
      </c>
      <c r="C505" s="1" t="s">
        <v>18</v>
      </c>
      <c r="D505" s="1" t="s">
        <v>50</v>
      </c>
      <c r="E505" s="1" t="s">
        <v>419</v>
      </c>
      <c r="F505" s="1" t="s">
        <v>60</v>
      </c>
      <c r="G505" s="1"/>
      <c r="H505" s="1"/>
      <c r="I505" s="1"/>
      <c r="J505" s="1"/>
      <c r="K505" s="1"/>
      <c r="L505" s="41">
        <v>32</v>
      </c>
      <c r="M505" s="44">
        <v>28.965</v>
      </c>
      <c r="N505" s="46">
        <f t="shared" si="29"/>
        <v>90.515625</v>
      </c>
    </row>
    <row r="506" spans="1:14" ht="62.4" outlineLevel="6">
      <c r="A506" s="2" t="s">
        <v>420</v>
      </c>
      <c r="B506" s="1" t="s">
        <v>406</v>
      </c>
      <c r="C506" s="1" t="s">
        <v>18</v>
      </c>
      <c r="D506" s="1" t="s">
        <v>50</v>
      </c>
      <c r="E506" s="1" t="s">
        <v>421</v>
      </c>
      <c r="F506" s="1" t="s">
        <v>16</v>
      </c>
      <c r="G506" s="1"/>
      <c r="H506" s="1"/>
      <c r="I506" s="1"/>
      <c r="J506" s="1"/>
      <c r="K506" s="1"/>
      <c r="L506" s="41">
        <f>L507</f>
        <v>428.3</v>
      </c>
      <c r="M506" s="41">
        <f>M507</f>
        <v>394.98755</v>
      </c>
      <c r="N506" s="46">
        <f t="shared" si="29"/>
        <v>92.222169040392245</v>
      </c>
    </row>
    <row r="507" spans="1:14" ht="46.8" outlineLevel="7">
      <c r="A507" s="2" t="s">
        <v>41</v>
      </c>
      <c r="B507" s="1" t="s">
        <v>406</v>
      </c>
      <c r="C507" s="1" t="s">
        <v>18</v>
      </c>
      <c r="D507" s="1" t="s">
        <v>50</v>
      </c>
      <c r="E507" s="1" t="s">
        <v>421</v>
      </c>
      <c r="F507" s="1" t="s">
        <v>42</v>
      </c>
      <c r="G507" s="1"/>
      <c r="H507" s="1"/>
      <c r="I507" s="1"/>
      <c r="J507" s="1"/>
      <c r="K507" s="1"/>
      <c r="L507" s="41">
        <f>117.5+310.8</f>
        <v>428.3</v>
      </c>
      <c r="M507" s="44">
        <v>394.98755</v>
      </c>
      <c r="N507" s="46">
        <f t="shared" si="29"/>
        <v>92.222169040392245</v>
      </c>
    </row>
    <row r="508" spans="1:14" ht="46.8" outlineLevel="5">
      <c r="A508" s="2" t="s">
        <v>69</v>
      </c>
      <c r="B508" s="1" t="s">
        <v>406</v>
      </c>
      <c r="C508" s="1" t="s">
        <v>18</v>
      </c>
      <c r="D508" s="1" t="s">
        <v>50</v>
      </c>
      <c r="E508" s="1" t="s">
        <v>422</v>
      </c>
      <c r="F508" s="1" t="s">
        <v>16</v>
      </c>
      <c r="G508" s="1"/>
      <c r="H508" s="1"/>
      <c r="I508" s="1"/>
      <c r="J508" s="1"/>
      <c r="K508" s="1"/>
      <c r="L508" s="41">
        <f>L509+L511+L514</f>
        <v>16306.5</v>
      </c>
      <c r="M508" s="41">
        <f>M509+M511+M514</f>
        <v>15378.106970000001</v>
      </c>
      <c r="N508" s="46">
        <f t="shared" si="29"/>
        <v>94.306607610462095</v>
      </c>
    </row>
    <row r="509" spans="1:14" ht="31.2" outlineLevel="6">
      <c r="A509" s="2" t="s">
        <v>33</v>
      </c>
      <c r="B509" s="1" t="s">
        <v>406</v>
      </c>
      <c r="C509" s="1" t="s">
        <v>18</v>
      </c>
      <c r="D509" s="1" t="s">
        <v>50</v>
      </c>
      <c r="E509" s="1" t="s">
        <v>423</v>
      </c>
      <c r="F509" s="1" t="s">
        <v>16</v>
      </c>
      <c r="G509" s="1"/>
      <c r="H509" s="1"/>
      <c r="I509" s="1"/>
      <c r="J509" s="1"/>
      <c r="K509" s="1"/>
      <c r="L509" s="41">
        <f>L510</f>
        <v>9529</v>
      </c>
      <c r="M509" s="41">
        <f>M510</f>
        <v>8921.2620000000006</v>
      </c>
      <c r="N509" s="46">
        <f t="shared" si="29"/>
        <v>93.622226886346951</v>
      </c>
    </row>
    <row r="510" spans="1:14" ht="109.2" outlineLevel="7">
      <c r="A510" s="2" t="s">
        <v>29</v>
      </c>
      <c r="B510" s="1" t="s">
        <v>406</v>
      </c>
      <c r="C510" s="1" t="s">
        <v>18</v>
      </c>
      <c r="D510" s="1" t="s">
        <v>50</v>
      </c>
      <c r="E510" s="1" t="s">
        <v>423</v>
      </c>
      <c r="F510" s="1" t="s">
        <v>30</v>
      </c>
      <c r="G510" s="1"/>
      <c r="H510" s="1"/>
      <c r="I510" s="1"/>
      <c r="J510" s="1"/>
      <c r="K510" s="1"/>
      <c r="L510" s="41">
        <v>9529</v>
      </c>
      <c r="M510" s="44">
        <v>8921.2620000000006</v>
      </c>
      <c r="N510" s="46">
        <f t="shared" si="29"/>
        <v>93.622226886346951</v>
      </c>
    </row>
    <row r="511" spans="1:14" ht="31.2" outlineLevel="6">
      <c r="A511" s="2" t="s">
        <v>35</v>
      </c>
      <c r="B511" s="1" t="s">
        <v>406</v>
      </c>
      <c r="C511" s="1" t="s">
        <v>18</v>
      </c>
      <c r="D511" s="1" t="s">
        <v>50</v>
      </c>
      <c r="E511" s="1" t="s">
        <v>424</v>
      </c>
      <c r="F511" s="1" t="s">
        <v>16</v>
      </c>
      <c r="G511" s="1"/>
      <c r="H511" s="1"/>
      <c r="I511" s="1"/>
      <c r="J511" s="1"/>
      <c r="K511" s="1"/>
      <c r="L511" s="41">
        <f>L512+L513</f>
        <v>746.1</v>
      </c>
      <c r="M511" s="41">
        <f>M512+M513</f>
        <v>745.81413999999995</v>
      </c>
      <c r="N511" s="46">
        <f t="shared" si="29"/>
        <v>99.961686101058831</v>
      </c>
    </row>
    <row r="512" spans="1:14" ht="46.8" outlineLevel="7">
      <c r="A512" s="2" t="s">
        <v>41</v>
      </c>
      <c r="B512" s="1" t="s">
        <v>406</v>
      </c>
      <c r="C512" s="1" t="s">
        <v>18</v>
      </c>
      <c r="D512" s="1" t="s">
        <v>50</v>
      </c>
      <c r="E512" s="1" t="s">
        <v>424</v>
      </c>
      <c r="F512" s="1" t="s">
        <v>42</v>
      </c>
      <c r="G512" s="1"/>
      <c r="H512" s="1"/>
      <c r="I512" s="1"/>
      <c r="J512" s="1"/>
      <c r="K512" s="1"/>
      <c r="L512" s="41">
        <v>745.7</v>
      </c>
      <c r="M512" s="44">
        <v>745.62666999999999</v>
      </c>
      <c r="N512" s="46">
        <f t="shared" si="29"/>
        <v>99.990166286710462</v>
      </c>
    </row>
    <row r="513" spans="1:14" ht="15.6" outlineLevel="7">
      <c r="A513" s="2" t="s">
        <v>59</v>
      </c>
      <c r="B513" s="1" t="s">
        <v>406</v>
      </c>
      <c r="C513" s="1" t="s">
        <v>18</v>
      </c>
      <c r="D513" s="1" t="s">
        <v>50</v>
      </c>
      <c r="E513" s="1" t="s">
        <v>424</v>
      </c>
      <c r="F513" s="1" t="s">
        <v>60</v>
      </c>
      <c r="G513" s="1"/>
      <c r="H513" s="1"/>
      <c r="I513" s="1"/>
      <c r="J513" s="1"/>
      <c r="K513" s="1"/>
      <c r="L513" s="41">
        <v>0.4</v>
      </c>
      <c r="M513" s="44">
        <v>0.18747</v>
      </c>
      <c r="N513" s="46">
        <f t="shared" si="29"/>
        <v>46.867499999999993</v>
      </c>
    </row>
    <row r="514" spans="1:14" ht="15.6" outlineLevel="6">
      <c r="A514" s="2" t="s">
        <v>425</v>
      </c>
      <c r="B514" s="1" t="s">
        <v>406</v>
      </c>
      <c r="C514" s="1" t="s">
        <v>18</v>
      </c>
      <c r="D514" s="1" t="s">
        <v>50</v>
      </c>
      <c r="E514" s="1" t="s">
        <v>426</v>
      </c>
      <c r="F514" s="1" t="s">
        <v>16</v>
      </c>
      <c r="G514" s="1"/>
      <c r="H514" s="1"/>
      <c r="I514" s="1"/>
      <c r="J514" s="1"/>
      <c r="K514" s="1"/>
      <c r="L514" s="41">
        <f>L515</f>
        <v>6031.4</v>
      </c>
      <c r="M514" s="41">
        <f>M515</f>
        <v>5711.0308299999997</v>
      </c>
      <c r="N514" s="46">
        <f t="shared" si="29"/>
        <v>94.688311668932585</v>
      </c>
    </row>
    <row r="515" spans="1:14" ht="15.6" outlineLevel="7">
      <c r="A515" s="2" t="s">
        <v>59</v>
      </c>
      <c r="B515" s="1" t="s">
        <v>406</v>
      </c>
      <c r="C515" s="1" t="s">
        <v>18</v>
      </c>
      <c r="D515" s="1" t="s">
        <v>50</v>
      </c>
      <c r="E515" s="1" t="s">
        <v>426</v>
      </c>
      <c r="F515" s="1" t="s">
        <v>60</v>
      </c>
      <c r="G515" s="1"/>
      <c r="H515" s="1"/>
      <c r="I515" s="1"/>
      <c r="J515" s="1"/>
      <c r="K515" s="1"/>
      <c r="L515" s="41">
        <f>3419.2+2332+280.2</f>
        <v>6031.4</v>
      </c>
      <c r="M515" s="44">
        <v>5711.0308299999997</v>
      </c>
      <c r="N515" s="46">
        <f t="shared" si="29"/>
        <v>94.688311668932585</v>
      </c>
    </row>
    <row r="516" spans="1:14" ht="31.2" outlineLevel="7">
      <c r="A516" s="2" t="s">
        <v>648</v>
      </c>
      <c r="B516" s="1" t="s">
        <v>406</v>
      </c>
      <c r="C516" s="1" t="s">
        <v>18</v>
      </c>
      <c r="D516" s="1" t="s">
        <v>50</v>
      </c>
      <c r="E516" s="1" t="s">
        <v>646</v>
      </c>
      <c r="F516" s="1" t="s">
        <v>16</v>
      </c>
      <c r="G516" s="1"/>
      <c r="H516" s="1"/>
      <c r="I516" s="1"/>
      <c r="J516" s="1"/>
      <c r="K516" s="1"/>
      <c r="L516" s="41">
        <f>L517</f>
        <v>4429.3249999999998</v>
      </c>
      <c r="M516" s="41">
        <f>M517</f>
        <v>4429.3249999999998</v>
      </c>
      <c r="N516" s="46">
        <f t="shared" si="29"/>
        <v>100</v>
      </c>
    </row>
    <row r="517" spans="1:14" ht="62.4" outlineLevel="7">
      <c r="A517" s="2" t="s">
        <v>649</v>
      </c>
      <c r="B517" s="1" t="s">
        <v>406</v>
      </c>
      <c r="C517" s="1" t="s">
        <v>18</v>
      </c>
      <c r="D517" s="1" t="s">
        <v>50</v>
      </c>
      <c r="E517" s="1" t="s">
        <v>647</v>
      </c>
      <c r="F517" s="1" t="s">
        <v>16</v>
      </c>
      <c r="G517" s="1"/>
      <c r="H517" s="1"/>
      <c r="I517" s="1"/>
      <c r="J517" s="1"/>
      <c r="K517" s="1"/>
      <c r="L517" s="41">
        <f>L519+L518</f>
        <v>4429.3249999999998</v>
      </c>
      <c r="M517" s="41">
        <f>M519+M518</f>
        <v>4429.3249999999998</v>
      </c>
      <c r="N517" s="46">
        <f t="shared" si="29"/>
        <v>100</v>
      </c>
    </row>
    <row r="518" spans="1:14" ht="46.8" outlineLevel="7">
      <c r="A518" s="2" t="s">
        <v>41</v>
      </c>
      <c r="B518" s="1" t="s">
        <v>406</v>
      </c>
      <c r="C518" s="1" t="s">
        <v>18</v>
      </c>
      <c r="D518" s="1" t="s">
        <v>50</v>
      </c>
      <c r="E518" s="1" t="s">
        <v>647</v>
      </c>
      <c r="F518" s="1" t="s">
        <v>42</v>
      </c>
      <c r="G518" s="1"/>
      <c r="H518" s="1"/>
      <c r="I518" s="1"/>
      <c r="J518" s="1"/>
      <c r="K518" s="1"/>
      <c r="L518" s="41">
        <v>92.462220000000002</v>
      </c>
      <c r="M518" s="41">
        <v>92.462220000000002</v>
      </c>
      <c r="N518" s="46">
        <f t="shared" si="29"/>
        <v>100</v>
      </c>
    </row>
    <row r="519" spans="1:14" ht="46.8" outlineLevel="7">
      <c r="A519" s="2" t="s">
        <v>233</v>
      </c>
      <c r="B519" s="1" t="s">
        <v>406</v>
      </c>
      <c r="C519" s="1" t="s">
        <v>18</v>
      </c>
      <c r="D519" s="1" t="s">
        <v>50</v>
      </c>
      <c r="E519" s="1" t="s">
        <v>647</v>
      </c>
      <c r="F519" s="1" t="s">
        <v>234</v>
      </c>
      <c r="G519" s="1"/>
      <c r="H519" s="1"/>
      <c r="I519" s="1"/>
      <c r="J519" s="1"/>
      <c r="K519" s="1"/>
      <c r="L519" s="41">
        <f>4429.325-92.46222</f>
        <v>4336.8627799999995</v>
      </c>
      <c r="M519" s="41">
        <f>4429.325-92.46222</f>
        <v>4336.8627799999995</v>
      </c>
      <c r="N519" s="46">
        <f t="shared" si="29"/>
        <v>100</v>
      </c>
    </row>
    <row r="520" spans="1:14" ht="15.6" outlineLevel="1">
      <c r="A520" s="3" t="s">
        <v>100</v>
      </c>
      <c r="B520" s="4" t="s">
        <v>406</v>
      </c>
      <c r="C520" s="4" t="s">
        <v>32</v>
      </c>
      <c r="D520" s="4"/>
      <c r="E520" s="4"/>
      <c r="F520" s="4"/>
      <c r="G520" s="4"/>
      <c r="H520" s="4"/>
      <c r="I520" s="4"/>
      <c r="J520" s="4"/>
      <c r="K520" s="4"/>
      <c r="L520" s="39">
        <f>L521</f>
        <v>1680.3</v>
      </c>
      <c r="M520" s="39">
        <f>M521</f>
        <v>1614.5196799999999</v>
      </c>
      <c r="N520" s="49">
        <f t="shared" si="29"/>
        <v>96.085203832648929</v>
      </c>
    </row>
    <row r="521" spans="1:14" ht="31.2" outlineLevel="2">
      <c r="A521" s="5" t="s">
        <v>106</v>
      </c>
      <c r="B521" s="6" t="s">
        <v>406</v>
      </c>
      <c r="C521" s="6" t="s">
        <v>32</v>
      </c>
      <c r="D521" s="6" t="s">
        <v>107</v>
      </c>
      <c r="E521" s="6"/>
      <c r="F521" s="6"/>
      <c r="G521" s="6"/>
      <c r="H521" s="6"/>
      <c r="I521" s="6"/>
      <c r="J521" s="6"/>
      <c r="K521" s="6"/>
      <c r="L521" s="40">
        <f>L526+L522</f>
        <v>1680.3</v>
      </c>
      <c r="M521" s="40">
        <f>M526+M522</f>
        <v>1614.5196799999999</v>
      </c>
      <c r="N521" s="47">
        <f t="shared" si="29"/>
        <v>96.085203832648929</v>
      </c>
    </row>
    <row r="522" spans="1:14" ht="78" outlineLevel="2">
      <c r="A522" s="2" t="s">
        <v>407</v>
      </c>
      <c r="B522" s="1" t="s">
        <v>406</v>
      </c>
      <c r="C522" s="1" t="s">
        <v>32</v>
      </c>
      <c r="D522" s="1" t="s">
        <v>107</v>
      </c>
      <c r="E522" s="1" t="s">
        <v>408</v>
      </c>
      <c r="F522" s="1" t="s">
        <v>16</v>
      </c>
      <c r="G522" s="1"/>
      <c r="H522" s="1"/>
      <c r="I522" s="1"/>
      <c r="J522" s="1"/>
      <c r="K522" s="1"/>
      <c r="L522" s="41">
        <f t="shared" ref="L522:M524" si="30">L523</f>
        <v>391.29999999999995</v>
      </c>
      <c r="M522" s="41">
        <f t="shared" si="30"/>
        <v>391.24516999999997</v>
      </c>
      <c r="N522" s="46">
        <f t="shared" si="29"/>
        <v>99.985987733197035</v>
      </c>
    </row>
    <row r="523" spans="1:14" ht="62.4" outlineLevel="2">
      <c r="A523" s="2" t="s">
        <v>409</v>
      </c>
      <c r="B523" s="1" t="s">
        <v>406</v>
      </c>
      <c r="C523" s="1" t="s">
        <v>32</v>
      </c>
      <c r="D523" s="1" t="s">
        <v>107</v>
      </c>
      <c r="E523" s="1" t="s">
        <v>410</v>
      </c>
      <c r="F523" s="1" t="s">
        <v>16</v>
      </c>
      <c r="G523" s="1"/>
      <c r="H523" s="1"/>
      <c r="I523" s="1"/>
      <c r="J523" s="1"/>
      <c r="K523" s="1"/>
      <c r="L523" s="41">
        <f t="shared" si="30"/>
        <v>391.29999999999995</v>
      </c>
      <c r="M523" s="41">
        <f t="shared" si="30"/>
        <v>391.24516999999997</v>
      </c>
      <c r="N523" s="46">
        <f t="shared" si="29"/>
        <v>99.985987733197035</v>
      </c>
    </row>
    <row r="524" spans="1:14" ht="62.4" outlineLevel="2">
      <c r="A524" s="2" t="s">
        <v>623</v>
      </c>
      <c r="B524" s="1" t="s">
        <v>406</v>
      </c>
      <c r="C524" s="1" t="s">
        <v>32</v>
      </c>
      <c r="D524" s="1" t="s">
        <v>107</v>
      </c>
      <c r="E524" s="1" t="s">
        <v>622</v>
      </c>
      <c r="F524" s="1" t="s">
        <v>16</v>
      </c>
      <c r="G524" s="1"/>
      <c r="H524" s="1"/>
      <c r="I524" s="1"/>
      <c r="J524" s="1"/>
      <c r="K524" s="1"/>
      <c r="L524" s="41">
        <f t="shared" si="30"/>
        <v>391.29999999999995</v>
      </c>
      <c r="M524" s="41">
        <f t="shared" si="30"/>
        <v>391.24516999999997</v>
      </c>
      <c r="N524" s="46">
        <f t="shared" si="29"/>
        <v>99.985987733197035</v>
      </c>
    </row>
    <row r="525" spans="1:14" ht="46.8" outlineLevel="2">
      <c r="A525" s="2" t="s">
        <v>41</v>
      </c>
      <c r="B525" s="1" t="s">
        <v>406</v>
      </c>
      <c r="C525" s="1" t="s">
        <v>32</v>
      </c>
      <c r="D525" s="1" t="s">
        <v>107</v>
      </c>
      <c r="E525" s="1" t="s">
        <v>622</v>
      </c>
      <c r="F525" s="1" t="s">
        <v>42</v>
      </c>
      <c r="G525" s="1"/>
      <c r="H525" s="1"/>
      <c r="I525" s="1"/>
      <c r="J525" s="1"/>
      <c r="K525" s="1"/>
      <c r="L525" s="41">
        <f>772.3-381</f>
        <v>391.29999999999995</v>
      </c>
      <c r="M525" s="44">
        <v>391.24516999999997</v>
      </c>
      <c r="N525" s="46">
        <f t="shared" si="29"/>
        <v>99.985987733197035</v>
      </c>
    </row>
    <row r="526" spans="1:14" ht="62.4" outlineLevel="3">
      <c r="A526" s="2" t="s">
        <v>108</v>
      </c>
      <c r="B526" s="1" t="s">
        <v>406</v>
      </c>
      <c r="C526" s="1" t="s">
        <v>32</v>
      </c>
      <c r="D526" s="1" t="s">
        <v>107</v>
      </c>
      <c r="E526" s="1" t="s">
        <v>109</v>
      </c>
      <c r="F526" s="1" t="s">
        <v>16</v>
      </c>
      <c r="G526" s="1"/>
      <c r="H526" s="1"/>
      <c r="I526" s="1"/>
      <c r="J526" s="1"/>
      <c r="K526" s="1"/>
      <c r="L526" s="41">
        <f t="shared" ref="L526:M528" si="31">L527</f>
        <v>1289</v>
      </c>
      <c r="M526" s="41">
        <f t="shared" si="31"/>
        <v>1223.27451</v>
      </c>
      <c r="N526" s="46">
        <f t="shared" si="29"/>
        <v>94.901048099301775</v>
      </c>
    </row>
    <row r="527" spans="1:14" ht="46.8" outlineLevel="5">
      <c r="A527" s="2" t="s">
        <v>427</v>
      </c>
      <c r="B527" s="1" t="s">
        <v>406</v>
      </c>
      <c r="C527" s="1" t="s">
        <v>32</v>
      </c>
      <c r="D527" s="1" t="s">
        <v>107</v>
      </c>
      <c r="E527" s="1" t="s">
        <v>428</v>
      </c>
      <c r="F527" s="1" t="s">
        <v>16</v>
      </c>
      <c r="G527" s="1"/>
      <c r="H527" s="1"/>
      <c r="I527" s="1"/>
      <c r="J527" s="1"/>
      <c r="K527" s="1"/>
      <c r="L527" s="41">
        <f t="shared" si="31"/>
        <v>1289</v>
      </c>
      <c r="M527" s="41">
        <f t="shared" si="31"/>
        <v>1223.27451</v>
      </c>
      <c r="N527" s="46">
        <f t="shared" si="29"/>
        <v>94.901048099301775</v>
      </c>
    </row>
    <row r="528" spans="1:14" ht="46.8" outlineLevel="6">
      <c r="A528" s="2" t="s">
        <v>429</v>
      </c>
      <c r="B528" s="1" t="s">
        <v>406</v>
      </c>
      <c r="C528" s="1" t="s">
        <v>32</v>
      </c>
      <c r="D528" s="1" t="s">
        <v>107</v>
      </c>
      <c r="E528" s="1" t="s">
        <v>430</v>
      </c>
      <c r="F528" s="1" t="s">
        <v>16</v>
      </c>
      <c r="G528" s="1"/>
      <c r="H528" s="1"/>
      <c r="I528" s="1"/>
      <c r="J528" s="1"/>
      <c r="K528" s="1"/>
      <c r="L528" s="41">
        <f t="shared" si="31"/>
        <v>1289</v>
      </c>
      <c r="M528" s="41">
        <f t="shared" si="31"/>
        <v>1223.27451</v>
      </c>
      <c r="N528" s="46">
        <f t="shared" si="29"/>
        <v>94.901048099301775</v>
      </c>
    </row>
    <row r="529" spans="1:14" ht="62.4" outlineLevel="7">
      <c r="A529" s="2" t="s">
        <v>90</v>
      </c>
      <c r="B529" s="1" t="s">
        <v>406</v>
      </c>
      <c r="C529" s="1" t="s">
        <v>32</v>
      </c>
      <c r="D529" s="1" t="s">
        <v>107</v>
      </c>
      <c r="E529" s="1" t="s">
        <v>430</v>
      </c>
      <c r="F529" s="1" t="s">
        <v>91</v>
      </c>
      <c r="G529" s="1"/>
      <c r="H529" s="1"/>
      <c r="I529" s="1"/>
      <c r="J529" s="1"/>
      <c r="K529" s="1"/>
      <c r="L529" s="41">
        <v>1289</v>
      </c>
      <c r="M529" s="44">
        <v>1223.27451</v>
      </c>
      <c r="N529" s="46">
        <f t="shared" si="29"/>
        <v>94.901048099301775</v>
      </c>
    </row>
    <row r="530" spans="1:14" ht="31.2">
      <c r="A530" s="3" t="s">
        <v>431</v>
      </c>
      <c r="B530" s="4" t="s">
        <v>432</v>
      </c>
      <c r="C530" s="4"/>
      <c r="D530" s="4"/>
      <c r="E530" s="4"/>
      <c r="F530" s="4"/>
      <c r="G530" s="4"/>
      <c r="H530" s="4"/>
      <c r="I530" s="4"/>
      <c r="J530" s="4"/>
      <c r="K530" s="4"/>
      <c r="L530" s="39">
        <f>L531+L558+L564</f>
        <v>104485.1</v>
      </c>
      <c r="M530" s="39">
        <f>M531+M558+M564</f>
        <v>104335.32277</v>
      </c>
      <c r="N530" s="49">
        <f t="shared" si="29"/>
        <v>99.856652068093908</v>
      </c>
    </row>
    <row r="531" spans="1:14" ht="15.6" outlineLevel="1">
      <c r="A531" s="3" t="s">
        <v>364</v>
      </c>
      <c r="B531" s="4" t="s">
        <v>432</v>
      </c>
      <c r="C531" s="4" t="s">
        <v>365</v>
      </c>
      <c r="D531" s="4"/>
      <c r="E531" s="4"/>
      <c r="F531" s="4"/>
      <c r="G531" s="4"/>
      <c r="H531" s="4"/>
      <c r="I531" s="4"/>
      <c r="J531" s="4"/>
      <c r="K531" s="4"/>
      <c r="L531" s="39">
        <f>L532+L546+L552</f>
        <v>89005.008050000004</v>
      </c>
      <c r="M531" s="39">
        <f>M532+M546+M552</f>
        <v>88862.009919999997</v>
      </c>
      <c r="N531" s="49">
        <f t="shared" si="29"/>
        <v>99.839336984364209</v>
      </c>
    </row>
    <row r="532" spans="1:14" ht="15.6" outlineLevel="2">
      <c r="A532" s="5" t="s">
        <v>366</v>
      </c>
      <c r="B532" s="6" t="s">
        <v>432</v>
      </c>
      <c r="C532" s="6" t="s">
        <v>365</v>
      </c>
      <c r="D532" s="6" t="s">
        <v>20</v>
      </c>
      <c r="E532" s="6"/>
      <c r="F532" s="6"/>
      <c r="G532" s="6"/>
      <c r="H532" s="6"/>
      <c r="I532" s="6"/>
      <c r="J532" s="6"/>
      <c r="K532" s="6"/>
      <c r="L532" s="40">
        <f>L533+L538</f>
        <v>85414.008050000004</v>
      </c>
      <c r="M532" s="40">
        <f>M533+M538</f>
        <v>85410.240539999999</v>
      </c>
      <c r="N532" s="47">
        <f t="shared" si="29"/>
        <v>99.995589119295516</v>
      </c>
    </row>
    <row r="533" spans="1:14" ht="62.4" outlineLevel="3">
      <c r="A533" s="2" t="s">
        <v>433</v>
      </c>
      <c r="B533" s="1" t="s">
        <v>432</v>
      </c>
      <c r="C533" s="1" t="s">
        <v>365</v>
      </c>
      <c r="D533" s="1" t="s">
        <v>20</v>
      </c>
      <c r="E533" s="1" t="s">
        <v>434</v>
      </c>
      <c r="F533" s="1" t="s">
        <v>16</v>
      </c>
      <c r="G533" s="1"/>
      <c r="H533" s="1"/>
      <c r="I533" s="1"/>
      <c r="J533" s="1"/>
      <c r="K533" s="1"/>
      <c r="L533" s="41">
        <f t="shared" ref="L533:M536" si="32">L534</f>
        <v>215</v>
      </c>
      <c r="M533" s="41">
        <f t="shared" si="32"/>
        <v>215</v>
      </c>
      <c r="N533" s="46">
        <f t="shared" si="29"/>
        <v>100</v>
      </c>
    </row>
    <row r="534" spans="1:14" ht="46.8" outlineLevel="4">
      <c r="A534" s="2" t="s">
        <v>435</v>
      </c>
      <c r="B534" s="1" t="s">
        <v>432</v>
      </c>
      <c r="C534" s="1" t="s">
        <v>365</v>
      </c>
      <c r="D534" s="1" t="s">
        <v>20</v>
      </c>
      <c r="E534" s="1" t="s">
        <v>436</v>
      </c>
      <c r="F534" s="1" t="s">
        <v>16</v>
      </c>
      <c r="G534" s="1"/>
      <c r="H534" s="1"/>
      <c r="I534" s="1"/>
      <c r="J534" s="1"/>
      <c r="K534" s="1"/>
      <c r="L534" s="41">
        <f t="shared" si="32"/>
        <v>215</v>
      </c>
      <c r="M534" s="41">
        <f t="shared" si="32"/>
        <v>215</v>
      </c>
      <c r="N534" s="46">
        <f t="shared" si="29"/>
        <v>100</v>
      </c>
    </row>
    <row r="535" spans="1:14" ht="62.4" outlineLevel="5">
      <c r="A535" s="2" t="s">
        <v>437</v>
      </c>
      <c r="B535" s="1" t="s">
        <v>432</v>
      </c>
      <c r="C535" s="1" t="s">
        <v>365</v>
      </c>
      <c r="D535" s="1" t="s">
        <v>20</v>
      </c>
      <c r="E535" s="1" t="s">
        <v>438</v>
      </c>
      <c r="F535" s="1" t="s">
        <v>16</v>
      </c>
      <c r="G535" s="1"/>
      <c r="H535" s="1"/>
      <c r="I535" s="1"/>
      <c r="J535" s="1"/>
      <c r="K535" s="1"/>
      <c r="L535" s="41">
        <f t="shared" si="32"/>
        <v>215</v>
      </c>
      <c r="M535" s="41">
        <f t="shared" si="32"/>
        <v>215</v>
      </c>
      <c r="N535" s="46">
        <f t="shared" si="29"/>
        <v>100</v>
      </c>
    </row>
    <row r="536" spans="1:14" ht="62.4" outlineLevel="6">
      <c r="A536" s="2" t="s">
        <v>439</v>
      </c>
      <c r="B536" s="1" t="s">
        <v>432</v>
      </c>
      <c r="C536" s="1" t="s">
        <v>365</v>
      </c>
      <c r="D536" s="1" t="s">
        <v>20</v>
      </c>
      <c r="E536" s="1" t="s">
        <v>440</v>
      </c>
      <c r="F536" s="1" t="s">
        <v>16</v>
      </c>
      <c r="G536" s="1"/>
      <c r="H536" s="1"/>
      <c r="I536" s="1"/>
      <c r="J536" s="1"/>
      <c r="K536" s="1"/>
      <c r="L536" s="41">
        <f t="shared" si="32"/>
        <v>215</v>
      </c>
      <c r="M536" s="41">
        <f t="shared" si="32"/>
        <v>215</v>
      </c>
      <c r="N536" s="46">
        <f t="shared" si="29"/>
        <v>100</v>
      </c>
    </row>
    <row r="537" spans="1:14" ht="62.4" outlineLevel="7">
      <c r="A537" s="2" t="s">
        <v>90</v>
      </c>
      <c r="B537" s="1" t="s">
        <v>432</v>
      </c>
      <c r="C537" s="1" t="s">
        <v>365</v>
      </c>
      <c r="D537" s="1" t="s">
        <v>20</v>
      </c>
      <c r="E537" s="1" t="s">
        <v>440</v>
      </c>
      <c r="F537" s="1" t="s">
        <v>91</v>
      </c>
      <c r="G537" s="1"/>
      <c r="H537" s="1"/>
      <c r="I537" s="1"/>
      <c r="J537" s="1"/>
      <c r="K537" s="1"/>
      <c r="L537" s="41">
        <v>215</v>
      </c>
      <c r="M537" s="41">
        <v>215</v>
      </c>
      <c r="N537" s="46">
        <f t="shared" si="29"/>
        <v>100</v>
      </c>
    </row>
    <row r="538" spans="1:14" ht="46.8" outlineLevel="3">
      <c r="A538" s="2" t="s">
        <v>441</v>
      </c>
      <c r="B538" s="1" t="s">
        <v>432</v>
      </c>
      <c r="C538" s="1" t="s">
        <v>365</v>
      </c>
      <c r="D538" s="1" t="s">
        <v>20</v>
      </c>
      <c r="E538" s="1" t="s">
        <v>442</v>
      </c>
      <c r="F538" s="1" t="s">
        <v>16</v>
      </c>
      <c r="G538" s="1"/>
      <c r="H538" s="1"/>
      <c r="I538" s="1"/>
      <c r="J538" s="1"/>
      <c r="K538" s="1"/>
      <c r="L538" s="41">
        <f>L539</f>
        <v>85199.008050000004</v>
      </c>
      <c r="M538" s="41">
        <f>M539</f>
        <v>85195.240539999999</v>
      </c>
      <c r="N538" s="46">
        <f t="shared" si="29"/>
        <v>99.995577988422355</v>
      </c>
    </row>
    <row r="539" spans="1:14" ht="49.5" customHeight="1" outlineLevel="5">
      <c r="A539" s="2" t="s">
        <v>443</v>
      </c>
      <c r="B539" s="1" t="s">
        <v>432</v>
      </c>
      <c r="C539" s="1" t="s">
        <v>365</v>
      </c>
      <c r="D539" s="1" t="s">
        <v>20</v>
      </c>
      <c r="E539" s="1" t="s">
        <v>444</v>
      </c>
      <c r="F539" s="1" t="s">
        <v>16</v>
      </c>
      <c r="G539" s="1"/>
      <c r="H539" s="1"/>
      <c r="I539" s="1"/>
      <c r="J539" s="1"/>
      <c r="K539" s="1"/>
      <c r="L539" s="41">
        <f>L540+L542+L544</f>
        <v>85199.008050000004</v>
      </c>
      <c r="M539" s="41">
        <f>M540+M542+M544</f>
        <v>85195.240539999999</v>
      </c>
      <c r="N539" s="46">
        <f t="shared" si="29"/>
        <v>99.995577988422355</v>
      </c>
    </row>
    <row r="540" spans="1:14" ht="36" customHeight="1" outlineLevel="6">
      <c r="A540" s="2" t="s">
        <v>445</v>
      </c>
      <c r="B540" s="1" t="s">
        <v>432</v>
      </c>
      <c r="C540" s="1" t="s">
        <v>365</v>
      </c>
      <c r="D540" s="1" t="s">
        <v>20</v>
      </c>
      <c r="E540" s="1" t="s">
        <v>446</v>
      </c>
      <c r="F540" s="1" t="s">
        <v>16</v>
      </c>
      <c r="G540" s="1"/>
      <c r="H540" s="1"/>
      <c r="I540" s="1"/>
      <c r="J540" s="1"/>
      <c r="K540" s="1"/>
      <c r="L540" s="41">
        <f>L541</f>
        <v>76.5</v>
      </c>
      <c r="M540" s="41">
        <f>M541</f>
        <v>76.5</v>
      </c>
      <c r="N540" s="46">
        <f t="shared" si="29"/>
        <v>100</v>
      </c>
    </row>
    <row r="541" spans="1:14" ht="59.25" customHeight="1" outlineLevel="7">
      <c r="A541" s="2" t="s">
        <v>90</v>
      </c>
      <c r="B541" s="1" t="s">
        <v>432</v>
      </c>
      <c r="C541" s="1" t="s">
        <v>365</v>
      </c>
      <c r="D541" s="1" t="s">
        <v>20</v>
      </c>
      <c r="E541" s="1" t="s">
        <v>446</v>
      </c>
      <c r="F541" s="1" t="s">
        <v>91</v>
      </c>
      <c r="G541" s="1"/>
      <c r="H541" s="1"/>
      <c r="I541" s="1"/>
      <c r="J541" s="1"/>
      <c r="K541" s="1"/>
      <c r="L541" s="41">
        <v>76.5</v>
      </c>
      <c r="M541" s="41">
        <v>76.5</v>
      </c>
      <c r="N541" s="46">
        <f t="shared" si="29"/>
        <v>100</v>
      </c>
    </row>
    <row r="542" spans="1:14" ht="128.25" customHeight="1" outlineLevel="6">
      <c r="A542" s="2" t="s">
        <v>447</v>
      </c>
      <c r="B542" s="1" t="s">
        <v>432</v>
      </c>
      <c r="C542" s="1" t="s">
        <v>365</v>
      </c>
      <c r="D542" s="1" t="s">
        <v>20</v>
      </c>
      <c r="E542" s="1" t="s">
        <v>448</v>
      </c>
      <c r="F542" s="1" t="s">
        <v>16</v>
      </c>
      <c r="G542" s="1"/>
      <c r="H542" s="1"/>
      <c r="I542" s="1"/>
      <c r="J542" s="1"/>
      <c r="K542" s="1"/>
      <c r="L542" s="41">
        <f>L543</f>
        <v>2994</v>
      </c>
      <c r="M542" s="41">
        <f>M543</f>
        <v>2994</v>
      </c>
      <c r="N542" s="46">
        <f t="shared" si="29"/>
        <v>100</v>
      </c>
    </row>
    <row r="543" spans="1:14" ht="62.4" outlineLevel="7">
      <c r="A543" s="2" t="s">
        <v>90</v>
      </c>
      <c r="B543" s="1" t="s">
        <v>432</v>
      </c>
      <c r="C543" s="1" t="s">
        <v>365</v>
      </c>
      <c r="D543" s="1" t="s">
        <v>20</v>
      </c>
      <c r="E543" s="1" t="s">
        <v>448</v>
      </c>
      <c r="F543" s="1" t="s">
        <v>91</v>
      </c>
      <c r="G543" s="1"/>
      <c r="H543" s="1"/>
      <c r="I543" s="1"/>
      <c r="J543" s="1"/>
      <c r="K543" s="1"/>
      <c r="L543" s="41">
        <f>2152.3+841.7</f>
        <v>2994</v>
      </c>
      <c r="M543" s="41">
        <f>2152.3+841.7</f>
        <v>2994</v>
      </c>
      <c r="N543" s="46">
        <f t="shared" si="29"/>
        <v>100</v>
      </c>
    </row>
    <row r="544" spans="1:14" ht="46.8" outlineLevel="6">
      <c r="A544" s="2" t="s">
        <v>449</v>
      </c>
      <c r="B544" s="1" t="s">
        <v>432</v>
      </c>
      <c r="C544" s="1" t="s">
        <v>365</v>
      </c>
      <c r="D544" s="1" t="s">
        <v>20</v>
      </c>
      <c r="E544" s="1" t="s">
        <v>450</v>
      </c>
      <c r="F544" s="1" t="s">
        <v>16</v>
      </c>
      <c r="G544" s="1"/>
      <c r="H544" s="1"/>
      <c r="I544" s="1"/>
      <c r="J544" s="1"/>
      <c r="K544" s="1"/>
      <c r="L544" s="41">
        <f>L545</f>
        <v>82128.508050000004</v>
      </c>
      <c r="M544" s="41">
        <f>M545</f>
        <v>82124.740539999999</v>
      </c>
      <c r="N544" s="46">
        <f t="shared" si="29"/>
        <v>99.995412664750077</v>
      </c>
    </row>
    <row r="545" spans="1:14" ht="62.4" outlineLevel="7">
      <c r="A545" s="2" t="s">
        <v>90</v>
      </c>
      <c r="B545" s="1" t="s">
        <v>432</v>
      </c>
      <c r="C545" s="1" t="s">
        <v>365</v>
      </c>
      <c r="D545" s="1" t="s">
        <v>20</v>
      </c>
      <c r="E545" s="1" t="s">
        <v>450</v>
      </c>
      <c r="F545" s="1" t="s">
        <v>91</v>
      </c>
      <c r="G545" s="1"/>
      <c r="H545" s="1"/>
      <c r="I545" s="1"/>
      <c r="J545" s="1"/>
      <c r="K545" s="1"/>
      <c r="L545" s="41">
        <f>80318.1+96.9+563.2+98.8+564+487.50805</f>
        <v>82128.508050000004</v>
      </c>
      <c r="M545" s="44">
        <v>82124.740539999999</v>
      </c>
      <c r="N545" s="46">
        <f t="shared" si="29"/>
        <v>99.995412664750077</v>
      </c>
    </row>
    <row r="546" spans="1:14" ht="31.2" outlineLevel="2">
      <c r="A546" s="5" t="s">
        <v>451</v>
      </c>
      <c r="B546" s="6" t="s">
        <v>432</v>
      </c>
      <c r="C546" s="6" t="s">
        <v>365</v>
      </c>
      <c r="D546" s="6" t="s">
        <v>365</v>
      </c>
      <c r="E546" s="6"/>
      <c r="F546" s="6"/>
      <c r="G546" s="6"/>
      <c r="H546" s="6"/>
      <c r="I546" s="6"/>
      <c r="J546" s="6"/>
      <c r="K546" s="6"/>
      <c r="L546" s="40">
        <f t="shared" ref="L546:M550" si="33">L547</f>
        <v>1384.6</v>
      </c>
      <c r="M546" s="40">
        <f t="shared" si="33"/>
        <v>1276.33725</v>
      </c>
      <c r="N546" s="47">
        <f t="shared" si="29"/>
        <v>92.180936732630371</v>
      </c>
    </row>
    <row r="547" spans="1:14" ht="46.8" outlineLevel="3">
      <c r="A547" s="2" t="s">
        <v>452</v>
      </c>
      <c r="B547" s="1" t="s">
        <v>432</v>
      </c>
      <c r="C547" s="1" t="s">
        <v>365</v>
      </c>
      <c r="D547" s="1" t="s">
        <v>365</v>
      </c>
      <c r="E547" s="1" t="s">
        <v>453</v>
      </c>
      <c r="F547" s="1" t="s">
        <v>16</v>
      </c>
      <c r="G547" s="1"/>
      <c r="H547" s="1"/>
      <c r="I547" s="1"/>
      <c r="J547" s="1"/>
      <c r="K547" s="1"/>
      <c r="L547" s="41">
        <f t="shared" si="33"/>
        <v>1384.6</v>
      </c>
      <c r="M547" s="41">
        <f t="shared" si="33"/>
        <v>1276.33725</v>
      </c>
      <c r="N547" s="46">
        <f t="shared" si="29"/>
        <v>92.180936732630371</v>
      </c>
    </row>
    <row r="548" spans="1:14" ht="46.8" outlineLevel="4">
      <c r="A548" s="2" t="s">
        <v>454</v>
      </c>
      <c r="B548" s="1" t="s">
        <v>432</v>
      </c>
      <c r="C548" s="1" t="s">
        <v>365</v>
      </c>
      <c r="D548" s="1" t="s">
        <v>365</v>
      </c>
      <c r="E548" s="1" t="s">
        <v>455</v>
      </c>
      <c r="F548" s="1" t="s">
        <v>16</v>
      </c>
      <c r="G548" s="1"/>
      <c r="H548" s="1"/>
      <c r="I548" s="1"/>
      <c r="J548" s="1"/>
      <c r="K548" s="1"/>
      <c r="L548" s="41">
        <f t="shared" si="33"/>
        <v>1384.6</v>
      </c>
      <c r="M548" s="41">
        <f t="shared" si="33"/>
        <v>1276.33725</v>
      </c>
      <c r="N548" s="46">
        <f t="shared" si="29"/>
        <v>92.180936732630371</v>
      </c>
    </row>
    <row r="549" spans="1:14" ht="31.2" outlineLevel="5">
      <c r="A549" s="2" t="s">
        <v>456</v>
      </c>
      <c r="B549" s="1" t="s">
        <v>432</v>
      </c>
      <c r="C549" s="1" t="s">
        <v>365</v>
      </c>
      <c r="D549" s="1" t="s">
        <v>365</v>
      </c>
      <c r="E549" s="1" t="s">
        <v>457</v>
      </c>
      <c r="F549" s="1" t="s">
        <v>16</v>
      </c>
      <c r="G549" s="1"/>
      <c r="H549" s="1"/>
      <c r="I549" s="1"/>
      <c r="J549" s="1"/>
      <c r="K549" s="1"/>
      <c r="L549" s="41">
        <f t="shared" si="33"/>
        <v>1384.6</v>
      </c>
      <c r="M549" s="41">
        <f t="shared" si="33"/>
        <v>1276.33725</v>
      </c>
      <c r="N549" s="46">
        <f t="shared" si="29"/>
        <v>92.180936732630371</v>
      </c>
    </row>
    <row r="550" spans="1:14" ht="46.8" outlineLevel="6">
      <c r="A550" s="2" t="s">
        <v>458</v>
      </c>
      <c r="B550" s="1" t="s">
        <v>432</v>
      </c>
      <c r="C550" s="1" t="s">
        <v>365</v>
      </c>
      <c r="D550" s="1" t="s">
        <v>365</v>
      </c>
      <c r="E550" s="1" t="s">
        <v>459</v>
      </c>
      <c r="F550" s="1" t="s">
        <v>16</v>
      </c>
      <c r="G550" s="1"/>
      <c r="H550" s="1"/>
      <c r="I550" s="1"/>
      <c r="J550" s="1"/>
      <c r="K550" s="1"/>
      <c r="L550" s="41">
        <f t="shared" si="33"/>
        <v>1384.6</v>
      </c>
      <c r="M550" s="41">
        <f t="shared" si="33"/>
        <v>1276.33725</v>
      </c>
      <c r="N550" s="46">
        <f t="shared" si="29"/>
        <v>92.180936732630371</v>
      </c>
    </row>
    <row r="551" spans="1:14" ht="62.4" outlineLevel="7">
      <c r="A551" s="2" t="s">
        <v>90</v>
      </c>
      <c r="B551" s="1" t="s">
        <v>432</v>
      </c>
      <c r="C551" s="1" t="s">
        <v>365</v>
      </c>
      <c r="D551" s="1" t="s">
        <v>365</v>
      </c>
      <c r="E551" s="1" t="s">
        <v>459</v>
      </c>
      <c r="F551" s="1" t="s">
        <v>91</v>
      </c>
      <c r="G551" s="1"/>
      <c r="H551" s="1"/>
      <c r="I551" s="1"/>
      <c r="J551" s="1"/>
      <c r="K551" s="1"/>
      <c r="L551" s="41">
        <v>1384.6</v>
      </c>
      <c r="M551" s="44">
        <v>1276.33725</v>
      </c>
      <c r="N551" s="46">
        <f t="shared" si="29"/>
        <v>92.180936732630371</v>
      </c>
    </row>
    <row r="552" spans="1:14" ht="15.6" outlineLevel="2">
      <c r="A552" s="5" t="s">
        <v>460</v>
      </c>
      <c r="B552" s="6" t="s">
        <v>432</v>
      </c>
      <c r="C552" s="6" t="s">
        <v>365</v>
      </c>
      <c r="D552" s="6" t="s">
        <v>171</v>
      </c>
      <c r="E552" s="6"/>
      <c r="F552" s="6"/>
      <c r="G552" s="6"/>
      <c r="H552" s="6"/>
      <c r="I552" s="6"/>
      <c r="J552" s="6"/>
      <c r="K552" s="6"/>
      <c r="L552" s="40">
        <f t="shared" ref="L552:M554" si="34">L553</f>
        <v>2206.4000000000005</v>
      </c>
      <c r="M552" s="40">
        <f t="shared" si="34"/>
        <v>2175.4321300000001</v>
      </c>
      <c r="N552" s="47">
        <f t="shared" si="29"/>
        <v>98.596452592458277</v>
      </c>
    </row>
    <row r="553" spans="1:14" ht="46.8" outlineLevel="3">
      <c r="A553" s="2" t="s">
        <v>441</v>
      </c>
      <c r="B553" s="1" t="s">
        <v>432</v>
      </c>
      <c r="C553" s="1" t="s">
        <v>365</v>
      </c>
      <c r="D553" s="1" t="s">
        <v>171</v>
      </c>
      <c r="E553" s="1" t="s">
        <v>442</v>
      </c>
      <c r="F553" s="1" t="s">
        <v>16</v>
      </c>
      <c r="G553" s="1"/>
      <c r="H553" s="1"/>
      <c r="I553" s="1"/>
      <c r="J553" s="1"/>
      <c r="K553" s="1"/>
      <c r="L553" s="41">
        <f t="shared" si="34"/>
        <v>2206.4000000000005</v>
      </c>
      <c r="M553" s="41">
        <f t="shared" si="34"/>
        <v>2175.4321300000001</v>
      </c>
      <c r="N553" s="46">
        <f t="shared" si="29"/>
        <v>98.596452592458277</v>
      </c>
    </row>
    <row r="554" spans="1:14" ht="46.8" outlineLevel="5">
      <c r="A554" s="2" t="s">
        <v>69</v>
      </c>
      <c r="B554" s="1" t="s">
        <v>432</v>
      </c>
      <c r="C554" s="1" t="s">
        <v>365</v>
      </c>
      <c r="D554" s="1" t="s">
        <v>171</v>
      </c>
      <c r="E554" s="1" t="s">
        <v>461</v>
      </c>
      <c r="F554" s="1" t="s">
        <v>16</v>
      </c>
      <c r="G554" s="1"/>
      <c r="H554" s="1"/>
      <c r="I554" s="1"/>
      <c r="J554" s="1"/>
      <c r="K554" s="1"/>
      <c r="L554" s="41">
        <f t="shared" si="34"/>
        <v>2206.4000000000005</v>
      </c>
      <c r="M554" s="41">
        <f t="shared" si="34"/>
        <v>2175.4321300000001</v>
      </c>
      <c r="N554" s="46">
        <f t="shared" si="29"/>
        <v>98.596452592458277</v>
      </c>
    </row>
    <row r="555" spans="1:14" ht="31.2" outlineLevel="6">
      <c r="A555" s="2" t="s">
        <v>61</v>
      </c>
      <c r="B555" s="1" t="s">
        <v>432</v>
      </c>
      <c r="C555" s="1" t="s">
        <v>365</v>
      </c>
      <c r="D555" s="1" t="s">
        <v>171</v>
      </c>
      <c r="E555" s="1" t="s">
        <v>462</v>
      </c>
      <c r="F555" s="1" t="s">
        <v>16</v>
      </c>
      <c r="G555" s="1"/>
      <c r="H555" s="1"/>
      <c r="I555" s="1"/>
      <c r="J555" s="1"/>
      <c r="K555" s="1"/>
      <c r="L555" s="41">
        <f>L556+L557</f>
        <v>2206.4000000000005</v>
      </c>
      <c r="M555" s="41">
        <f>M556+M557</f>
        <v>2175.4321300000001</v>
      </c>
      <c r="N555" s="46">
        <f t="shared" si="29"/>
        <v>98.596452592458277</v>
      </c>
    </row>
    <row r="556" spans="1:14" ht="104.25" customHeight="1" outlineLevel="7">
      <c r="A556" s="2" t="s">
        <v>29</v>
      </c>
      <c r="B556" s="1" t="s">
        <v>432</v>
      </c>
      <c r="C556" s="1" t="s">
        <v>365</v>
      </c>
      <c r="D556" s="1" t="s">
        <v>171</v>
      </c>
      <c r="E556" s="1" t="s">
        <v>462</v>
      </c>
      <c r="F556" s="1" t="s">
        <v>30</v>
      </c>
      <c r="G556" s="1"/>
      <c r="H556" s="1"/>
      <c r="I556" s="1"/>
      <c r="J556" s="1"/>
      <c r="K556" s="1"/>
      <c r="L556" s="41">
        <f>2019.4+12.63+3.81435</f>
        <v>2035.8443500000003</v>
      </c>
      <c r="M556" s="44">
        <v>2027.3139000000001</v>
      </c>
      <c r="N556" s="46">
        <f t="shared" si="29"/>
        <v>99.580987122124526</v>
      </c>
    </row>
    <row r="557" spans="1:14" ht="46.8" outlineLevel="7">
      <c r="A557" s="2" t="s">
        <v>41</v>
      </c>
      <c r="B557" s="1" t="s">
        <v>432</v>
      </c>
      <c r="C557" s="1" t="s">
        <v>365</v>
      </c>
      <c r="D557" s="1" t="s">
        <v>171</v>
      </c>
      <c r="E557" s="1" t="s">
        <v>462</v>
      </c>
      <c r="F557" s="1" t="s">
        <v>42</v>
      </c>
      <c r="G557" s="1"/>
      <c r="H557" s="1"/>
      <c r="I557" s="1"/>
      <c r="J557" s="1"/>
      <c r="K557" s="1"/>
      <c r="L557" s="41">
        <f>187-16.44435</f>
        <v>170.55565000000001</v>
      </c>
      <c r="M557" s="44">
        <v>148.11823000000001</v>
      </c>
      <c r="N557" s="46">
        <f t="shared" si="29"/>
        <v>86.844516731049367</v>
      </c>
    </row>
    <row r="558" spans="1:14" ht="15.6" outlineLevel="1">
      <c r="A558" s="3" t="s">
        <v>114</v>
      </c>
      <c r="B558" s="4" t="s">
        <v>432</v>
      </c>
      <c r="C558" s="4" t="s">
        <v>115</v>
      </c>
      <c r="D558" s="4"/>
      <c r="E558" s="4"/>
      <c r="F558" s="4"/>
      <c r="G558" s="4"/>
      <c r="H558" s="4"/>
      <c r="I558" s="4"/>
      <c r="J558" s="4"/>
      <c r="K558" s="4"/>
      <c r="L558" s="39">
        <f t="shared" ref="L558:M562" si="35">L559</f>
        <v>12</v>
      </c>
      <c r="M558" s="39">
        <f t="shared" si="35"/>
        <v>12</v>
      </c>
      <c r="N558" s="49">
        <f t="shared" si="29"/>
        <v>100</v>
      </c>
    </row>
    <row r="559" spans="1:14" ht="15.6" outlineLevel="2">
      <c r="A559" s="5" t="s">
        <v>121</v>
      </c>
      <c r="B559" s="6" t="s">
        <v>432</v>
      </c>
      <c r="C559" s="6" t="s">
        <v>115</v>
      </c>
      <c r="D559" s="6" t="s">
        <v>93</v>
      </c>
      <c r="E559" s="6"/>
      <c r="F559" s="6"/>
      <c r="G559" s="6"/>
      <c r="H559" s="6"/>
      <c r="I559" s="6"/>
      <c r="J559" s="6"/>
      <c r="K559" s="6"/>
      <c r="L559" s="40">
        <f t="shared" si="35"/>
        <v>12</v>
      </c>
      <c r="M559" s="40">
        <f t="shared" si="35"/>
        <v>12</v>
      </c>
      <c r="N559" s="47">
        <f t="shared" si="29"/>
        <v>100</v>
      </c>
    </row>
    <row r="560" spans="1:14" ht="46.8" outlineLevel="3">
      <c r="A560" s="2" t="s">
        <v>441</v>
      </c>
      <c r="B560" s="1" t="s">
        <v>432</v>
      </c>
      <c r="C560" s="1" t="s">
        <v>115</v>
      </c>
      <c r="D560" s="1" t="s">
        <v>93</v>
      </c>
      <c r="E560" s="1" t="s">
        <v>442</v>
      </c>
      <c r="F560" s="1" t="s">
        <v>16</v>
      </c>
      <c r="G560" s="1"/>
      <c r="H560" s="1"/>
      <c r="I560" s="1"/>
      <c r="J560" s="1"/>
      <c r="K560" s="1"/>
      <c r="L560" s="41">
        <f t="shared" si="35"/>
        <v>12</v>
      </c>
      <c r="M560" s="41">
        <f t="shared" si="35"/>
        <v>12</v>
      </c>
      <c r="N560" s="46">
        <f t="shared" si="29"/>
        <v>100</v>
      </c>
    </row>
    <row r="561" spans="1:14" ht="46.8" outlineLevel="5">
      <c r="A561" s="2" t="s">
        <v>69</v>
      </c>
      <c r="B561" s="1" t="s">
        <v>432</v>
      </c>
      <c r="C561" s="1" t="s">
        <v>115</v>
      </c>
      <c r="D561" s="1" t="s">
        <v>93</v>
      </c>
      <c r="E561" s="1" t="s">
        <v>461</v>
      </c>
      <c r="F561" s="1" t="s">
        <v>16</v>
      </c>
      <c r="G561" s="1"/>
      <c r="H561" s="1"/>
      <c r="I561" s="1"/>
      <c r="J561" s="1"/>
      <c r="K561" s="1"/>
      <c r="L561" s="41">
        <f t="shared" si="35"/>
        <v>12</v>
      </c>
      <c r="M561" s="41">
        <f t="shared" si="35"/>
        <v>12</v>
      </c>
      <c r="N561" s="46">
        <f t="shared" si="29"/>
        <v>100</v>
      </c>
    </row>
    <row r="562" spans="1:14" ht="46.8" outlineLevel="6">
      <c r="A562" s="2" t="s">
        <v>463</v>
      </c>
      <c r="B562" s="1" t="s">
        <v>432</v>
      </c>
      <c r="C562" s="1" t="s">
        <v>115</v>
      </c>
      <c r="D562" s="1" t="s">
        <v>93</v>
      </c>
      <c r="E562" s="1" t="s">
        <v>464</v>
      </c>
      <c r="F562" s="1" t="s">
        <v>16</v>
      </c>
      <c r="G562" s="1"/>
      <c r="H562" s="1"/>
      <c r="I562" s="1"/>
      <c r="J562" s="1"/>
      <c r="K562" s="1"/>
      <c r="L562" s="41">
        <f t="shared" si="35"/>
        <v>12</v>
      </c>
      <c r="M562" s="41">
        <f t="shared" si="35"/>
        <v>12</v>
      </c>
      <c r="N562" s="46">
        <f t="shared" si="29"/>
        <v>100</v>
      </c>
    </row>
    <row r="563" spans="1:14" ht="31.2" outlineLevel="7">
      <c r="A563" s="2" t="s">
        <v>77</v>
      </c>
      <c r="B563" s="1" t="s">
        <v>432</v>
      </c>
      <c r="C563" s="1" t="s">
        <v>115</v>
      </c>
      <c r="D563" s="1" t="s">
        <v>93</v>
      </c>
      <c r="E563" s="1" t="s">
        <v>464</v>
      </c>
      <c r="F563" s="1" t="s">
        <v>78</v>
      </c>
      <c r="G563" s="1"/>
      <c r="H563" s="1"/>
      <c r="I563" s="1"/>
      <c r="J563" s="1"/>
      <c r="K563" s="1"/>
      <c r="L563" s="41">
        <v>12</v>
      </c>
      <c r="M563" s="41">
        <v>12</v>
      </c>
      <c r="N563" s="46">
        <f t="shared" ref="N563:N626" si="36">M563/L563*100</f>
        <v>100</v>
      </c>
    </row>
    <row r="564" spans="1:14" ht="15.6" outlineLevel="1">
      <c r="A564" s="3" t="s">
        <v>465</v>
      </c>
      <c r="B564" s="4" t="s">
        <v>432</v>
      </c>
      <c r="C564" s="4" t="s">
        <v>466</v>
      </c>
      <c r="D564" s="4"/>
      <c r="E564" s="4"/>
      <c r="F564" s="4"/>
      <c r="G564" s="4"/>
      <c r="H564" s="4"/>
      <c r="I564" s="4"/>
      <c r="J564" s="4"/>
      <c r="K564" s="4"/>
      <c r="L564" s="39">
        <f>L565+L573+L589</f>
        <v>15468.09195</v>
      </c>
      <c r="M564" s="39">
        <f>M565+M573+M589</f>
        <v>15461.31285</v>
      </c>
      <c r="N564" s="49">
        <f t="shared" si="36"/>
        <v>99.956173650752049</v>
      </c>
    </row>
    <row r="565" spans="1:14" ht="15.6" outlineLevel="2">
      <c r="A565" s="5" t="s">
        <v>467</v>
      </c>
      <c r="B565" s="6" t="s">
        <v>432</v>
      </c>
      <c r="C565" s="6" t="s">
        <v>466</v>
      </c>
      <c r="D565" s="6" t="s">
        <v>18</v>
      </c>
      <c r="E565" s="6"/>
      <c r="F565" s="6"/>
      <c r="G565" s="6"/>
      <c r="H565" s="6"/>
      <c r="I565" s="6"/>
      <c r="J565" s="6"/>
      <c r="K565" s="6"/>
      <c r="L565" s="40">
        <f>L566</f>
        <v>10092.46695</v>
      </c>
      <c r="M565" s="40">
        <f>M566</f>
        <v>10092.46695</v>
      </c>
      <c r="N565" s="47">
        <f t="shared" si="36"/>
        <v>100</v>
      </c>
    </row>
    <row r="566" spans="1:14" ht="46.8" outlineLevel="3">
      <c r="A566" s="2" t="s">
        <v>441</v>
      </c>
      <c r="B566" s="1" t="s">
        <v>432</v>
      </c>
      <c r="C566" s="1" t="s">
        <v>466</v>
      </c>
      <c r="D566" s="1" t="s">
        <v>18</v>
      </c>
      <c r="E566" s="1" t="s">
        <v>442</v>
      </c>
      <c r="F566" s="1" t="s">
        <v>16</v>
      </c>
      <c r="G566" s="1"/>
      <c r="H566" s="1"/>
      <c r="I566" s="1"/>
      <c r="J566" s="1"/>
      <c r="K566" s="1"/>
      <c r="L566" s="41">
        <f>L567+L570</f>
        <v>10092.46695</v>
      </c>
      <c r="M566" s="41">
        <f>M567+M570</f>
        <v>10092.46695</v>
      </c>
      <c r="N566" s="46">
        <f t="shared" si="36"/>
        <v>100</v>
      </c>
    </row>
    <row r="567" spans="1:14" ht="93.6" outlineLevel="5">
      <c r="A567" s="2" t="s">
        <v>468</v>
      </c>
      <c r="B567" s="1" t="s">
        <v>432</v>
      </c>
      <c r="C567" s="1" t="s">
        <v>466</v>
      </c>
      <c r="D567" s="1" t="s">
        <v>18</v>
      </c>
      <c r="E567" s="1" t="s">
        <v>469</v>
      </c>
      <c r="F567" s="1" t="s">
        <v>16</v>
      </c>
      <c r="G567" s="1"/>
      <c r="H567" s="1"/>
      <c r="I567" s="1"/>
      <c r="J567" s="1"/>
      <c r="K567" s="1"/>
      <c r="L567" s="41">
        <f>L568</f>
        <v>425.96695</v>
      </c>
      <c r="M567" s="41">
        <f>M568</f>
        <v>425.96695</v>
      </c>
      <c r="N567" s="46">
        <f t="shared" si="36"/>
        <v>100</v>
      </c>
    </row>
    <row r="568" spans="1:14" ht="46.8" outlineLevel="6">
      <c r="A568" s="2" t="s">
        <v>470</v>
      </c>
      <c r="B568" s="1" t="s">
        <v>432</v>
      </c>
      <c r="C568" s="1" t="s">
        <v>466</v>
      </c>
      <c r="D568" s="1" t="s">
        <v>18</v>
      </c>
      <c r="E568" s="1" t="s">
        <v>471</v>
      </c>
      <c r="F568" s="1" t="s">
        <v>16</v>
      </c>
      <c r="G568" s="1"/>
      <c r="H568" s="1"/>
      <c r="I568" s="1"/>
      <c r="J568" s="1"/>
      <c r="K568" s="1"/>
      <c r="L568" s="41">
        <f>L569</f>
        <v>425.96695</v>
      </c>
      <c r="M568" s="41">
        <f>M569</f>
        <v>425.96695</v>
      </c>
      <c r="N568" s="46">
        <f t="shared" si="36"/>
        <v>100</v>
      </c>
    </row>
    <row r="569" spans="1:14" ht="62.4" outlineLevel="7">
      <c r="A569" s="2" t="s">
        <v>90</v>
      </c>
      <c r="B569" s="1" t="s">
        <v>432</v>
      </c>
      <c r="C569" s="1" t="s">
        <v>466</v>
      </c>
      <c r="D569" s="1" t="s">
        <v>18</v>
      </c>
      <c r="E569" s="1" t="s">
        <v>471</v>
      </c>
      <c r="F569" s="1" t="s">
        <v>91</v>
      </c>
      <c r="G569" s="1"/>
      <c r="H569" s="1"/>
      <c r="I569" s="1"/>
      <c r="J569" s="1"/>
      <c r="K569" s="1"/>
      <c r="L569" s="41">
        <f>702-276.03305</f>
        <v>425.96695</v>
      </c>
      <c r="M569" s="41">
        <f>702-276.03305</f>
        <v>425.96695</v>
      </c>
      <c r="N569" s="46">
        <f t="shared" si="36"/>
        <v>100</v>
      </c>
    </row>
    <row r="570" spans="1:14" ht="37.5" customHeight="1" outlineLevel="5">
      <c r="A570" s="2" t="s">
        <v>472</v>
      </c>
      <c r="B570" s="1" t="s">
        <v>432</v>
      </c>
      <c r="C570" s="1" t="s">
        <v>466</v>
      </c>
      <c r="D570" s="1" t="s">
        <v>18</v>
      </c>
      <c r="E570" s="1" t="s">
        <v>473</v>
      </c>
      <c r="F570" s="1" t="s">
        <v>16</v>
      </c>
      <c r="G570" s="1"/>
      <c r="H570" s="1"/>
      <c r="I570" s="1"/>
      <c r="J570" s="1"/>
      <c r="K570" s="1"/>
      <c r="L570" s="41">
        <f>L571</f>
        <v>9666.5</v>
      </c>
      <c r="M570" s="41">
        <f>M571</f>
        <v>9666.5</v>
      </c>
      <c r="N570" s="46">
        <f t="shared" si="36"/>
        <v>100</v>
      </c>
    </row>
    <row r="571" spans="1:14" ht="37.5" customHeight="1" outlineLevel="6">
      <c r="A571" s="2" t="s">
        <v>657</v>
      </c>
      <c r="B571" s="1" t="s">
        <v>432</v>
      </c>
      <c r="C571" s="1" t="s">
        <v>466</v>
      </c>
      <c r="D571" s="1" t="s">
        <v>18</v>
      </c>
      <c r="E571" s="1" t="s">
        <v>474</v>
      </c>
      <c r="F571" s="1" t="s">
        <v>16</v>
      </c>
      <c r="G571" s="1"/>
      <c r="H571" s="1"/>
      <c r="I571" s="1"/>
      <c r="J571" s="1"/>
      <c r="K571" s="1"/>
      <c r="L571" s="41">
        <f>L572</f>
        <v>9666.5</v>
      </c>
      <c r="M571" s="41">
        <f>M572</f>
        <v>9666.5</v>
      </c>
      <c r="N571" s="46">
        <f t="shared" si="36"/>
        <v>100</v>
      </c>
    </row>
    <row r="572" spans="1:14" ht="58.5" customHeight="1" outlineLevel="7">
      <c r="A572" s="2" t="s">
        <v>90</v>
      </c>
      <c r="B572" s="1" t="s">
        <v>432</v>
      </c>
      <c r="C572" s="1" t="s">
        <v>466</v>
      </c>
      <c r="D572" s="1" t="s">
        <v>18</v>
      </c>
      <c r="E572" s="1" t="s">
        <v>474</v>
      </c>
      <c r="F572" s="1" t="s">
        <v>91</v>
      </c>
      <c r="G572" s="1"/>
      <c r="H572" s="1"/>
      <c r="I572" s="1"/>
      <c r="J572" s="1"/>
      <c r="K572" s="1"/>
      <c r="L572" s="41">
        <f>2700-350+6476.5-200+1040</f>
        <v>9666.5</v>
      </c>
      <c r="M572" s="41">
        <f>2700-350+6476.5-200+1040</f>
        <v>9666.5</v>
      </c>
      <c r="N572" s="46">
        <f t="shared" si="36"/>
        <v>100</v>
      </c>
    </row>
    <row r="573" spans="1:14" ht="15.6" outlineLevel="2">
      <c r="A573" s="5" t="s">
        <v>475</v>
      </c>
      <c r="B573" s="6" t="s">
        <v>432</v>
      </c>
      <c r="C573" s="6" t="s">
        <v>466</v>
      </c>
      <c r="D573" s="6" t="s">
        <v>20</v>
      </c>
      <c r="E573" s="6"/>
      <c r="F573" s="6"/>
      <c r="G573" s="6"/>
      <c r="H573" s="6"/>
      <c r="I573" s="6"/>
      <c r="J573" s="6"/>
      <c r="K573" s="6"/>
      <c r="L573" s="40">
        <f>L574</f>
        <v>3282.5250000000001</v>
      </c>
      <c r="M573" s="40">
        <f>M574</f>
        <v>3282.52493</v>
      </c>
      <c r="N573" s="47">
        <f t="shared" si="36"/>
        <v>99.999997867495296</v>
      </c>
    </row>
    <row r="574" spans="1:14" ht="46.8" outlineLevel="3">
      <c r="A574" s="2" t="s">
        <v>441</v>
      </c>
      <c r="B574" s="1" t="s">
        <v>432</v>
      </c>
      <c r="C574" s="1" t="s">
        <v>466</v>
      </c>
      <c r="D574" s="1" t="s">
        <v>20</v>
      </c>
      <c r="E574" s="1" t="s">
        <v>442</v>
      </c>
      <c r="F574" s="1" t="s">
        <v>16</v>
      </c>
      <c r="G574" s="1"/>
      <c r="H574" s="1"/>
      <c r="I574" s="1"/>
      <c r="J574" s="1"/>
      <c r="K574" s="1"/>
      <c r="L574" s="41">
        <f>L575+L578+L583+L586</f>
        <v>3282.5250000000001</v>
      </c>
      <c r="M574" s="41">
        <f>M575+M578+M583+M586</f>
        <v>3282.52493</v>
      </c>
      <c r="N574" s="46">
        <f t="shared" si="36"/>
        <v>99.999997867495296</v>
      </c>
    </row>
    <row r="575" spans="1:14" ht="49.5" customHeight="1" outlineLevel="5">
      <c r="A575" s="2" t="s">
        <v>443</v>
      </c>
      <c r="B575" s="1" t="s">
        <v>432</v>
      </c>
      <c r="C575" s="1" t="s">
        <v>466</v>
      </c>
      <c r="D575" s="1" t="s">
        <v>20</v>
      </c>
      <c r="E575" s="1" t="s">
        <v>444</v>
      </c>
      <c r="F575" s="1" t="s">
        <v>16</v>
      </c>
      <c r="G575" s="1"/>
      <c r="H575" s="1"/>
      <c r="I575" s="1"/>
      <c r="J575" s="1"/>
      <c r="K575" s="1"/>
      <c r="L575" s="41">
        <f>L576</f>
        <v>40</v>
      </c>
      <c r="M575" s="41">
        <f>M576</f>
        <v>40</v>
      </c>
      <c r="N575" s="46">
        <f t="shared" si="36"/>
        <v>100</v>
      </c>
    </row>
    <row r="576" spans="1:14" ht="46.8" outlineLevel="6">
      <c r="A576" s="2" t="s">
        <v>476</v>
      </c>
      <c r="B576" s="1" t="s">
        <v>432</v>
      </c>
      <c r="C576" s="1" t="s">
        <v>466</v>
      </c>
      <c r="D576" s="1" t="s">
        <v>20</v>
      </c>
      <c r="E576" s="1" t="s">
        <v>477</v>
      </c>
      <c r="F576" s="1" t="s">
        <v>16</v>
      </c>
      <c r="G576" s="1"/>
      <c r="H576" s="1"/>
      <c r="I576" s="1"/>
      <c r="J576" s="1"/>
      <c r="K576" s="1"/>
      <c r="L576" s="41">
        <f>L577</f>
        <v>40</v>
      </c>
      <c r="M576" s="41">
        <f>M577</f>
        <v>40</v>
      </c>
      <c r="N576" s="46">
        <f t="shared" si="36"/>
        <v>100</v>
      </c>
    </row>
    <row r="577" spans="1:14" ht="62.4" outlineLevel="7">
      <c r="A577" s="2" t="s">
        <v>90</v>
      </c>
      <c r="B577" s="1" t="s">
        <v>432</v>
      </c>
      <c r="C577" s="1" t="s">
        <v>466</v>
      </c>
      <c r="D577" s="1" t="s">
        <v>20</v>
      </c>
      <c r="E577" s="1" t="s">
        <v>477</v>
      </c>
      <c r="F577" s="1" t="s">
        <v>91</v>
      </c>
      <c r="G577" s="1"/>
      <c r="H577" s="1"/>
      <c r="I577" s="1"/>
      <c r="J577" s="1"/>
      <c r="K577" s="1"/>
      <c r="L577" s="41">
        <v>40</v>
      </c>
      <c r="M577" s="41">
        <v>40</v>
      </c>
      <c r="N577" s="46">
        <f t="shared" si="36"/>
        <v>100</v>
      </c>
    </row>
    <row r="578" spans="1:14" ht="93.6" outlineLevel="5">
      <c r="A578" s="2" t="s">
        <v>468</v>
      </c>
      <c r="B578" s="1" t="s">
        <v>432</v>
      </c>
      <c r="C578" s="1" t="s">
        <v>466</v>
      </c>
      <c r="D578" s="1" t="s">
        <v>20</v>
      </c>
      <c r="E578" s="1" t="s">
        <v>469</v>
      </c>
      <c r="F578" s="1" t="s">
        <v>16</v>
      </c>
      <c r="G578" s="1"/>
      <c r="H578" s="1"/>
      <c r="I578" s="1"/>
      <c r="J578" s="1"/>
      <c r="K578" s="1"/>
      <c r="L578" s="41">
        <f>L579+L581</f>
        <v>781.52499999999998</v>
      </c>
      <c r="M578" s="41">
        <f>M579+M581</f>
        <v>781.52499999999998</v>
      </c>
      <c r="N578" s="46">
        <f t="shared" si="36"/>
        <v>100</v>
      </c>
    </row>
    <row r="579" spans="1:14" ht="46.8" outlineLevel="6">
      <c r="A579" s="2" t="s">
        <v>393</v>
      </c>
      <c r="B579" s="1" t="s">
        <v>432</v>
      </c>
      <c r="C579" s="1" t="s">
        <v>466</v>
      </c>
      <c r="D579" s="1" t="s">
        <v>20</v>
      </c>
      <c r="E579" s="1" t="s">
        <v>478</v>
      </c>
      <c r="F579" s="1" t="s">
        <v>16</v>
      </c>
      <c r="G579" s="1"/>
      <c r="H579" s="1"/>
      <c r="I579" s="1"/>
      <c r="J579" s="1"/>
      <c r="K579" s="1"/>
      <c r="L579" s="41">
        <f>L580</f>
        <v>20</v>
      </c>
      <c r="M579" s="41">
        <f>M580</f>
        <v>20</v>
      </c>
      <c r="N579" s="46">
        <f t="shared" si="36"/>
        <v>100</v>
      </c>
    </row>
    <row r="580" spans="1:14" ht="62.4" outlineLevel="7">
      <c r="A580" s="2" t="s">
        <v>90</v>
      </c>
      <c r="B580" s="1" t="s">
        <v>432</v>
      </c>
      <c r="C580" s="1" t="s">
        <v>466</v>
      </c>
      <c r="D580" s="1" t="s">
        <v>20</v>
      </c>
      <c r="E580" s="1" t="s">
        <v>478</v>
      </c>
      <c r="F580" s="1" t="s">
        <v>91</v>
      </c>
      <c r="G580" s="1"/>
      <c r="H580" s="1"/>
      <c r="I580" s="1"/>
      <c r="J580" s="1"/>
      <c r="K580" s="1"/>
      <c r="L580" s="41">
        <v>20</v>
      </c>
      <c r="M580" s="41">
        <v>20</v>
      </c>
      <c r="N580" s="46">
        <f t="shared" si="36"/>
        <v>100</v>
      </c>
    </row>
    <row r="581" spans="1:14" ht="46.8" outlineLevel="6">
      <c r="A581" s="2" t="s">
        <v>470</v>
      </c>
      <c r="B581" s="1" t="s">
        <v>432</v>
      </c>
      <c r="C581" s="1" t="s">
        <v>466</v>
      </c>
      <c r="D581" s="1" t="s">
        <v>20</v>
      </c>
      <c r="E581" s="1" t="s">
        <v>471</v>
      </c>
      <c r="F581" s="1" t="s">
        <v>16</v>
      </c>
      <c r="G581" s="1"/>
      <c r="H581" s="1"/>
      <c r="I581" s="1"/>
      <c r="J581" s="1"/>
      <c r="K581" s="1"/>
      <c r="L581" s="41">
        <f>L582</f>
        <v>761.52499999999998</v>
      </c>
      <c r="M581" s="41">
        <f>M582</f>
        <v>761.52499999999998</v>
      </c>
      <c r="N581" s="46">
        <f t="shared" si="36"/>
        <v>100</v>
      </c>
    </row>
    <row r="582" spans="1:14" ht="62.4" outlineLevel="7">
      <c r="A582" s="2" t="s">
        <v>90</v>
      </c>
      <c r="B582" s="1" t="s">
        <v>432</v>
      </c>
      <c r="C582" s="1" t="s">
        <v>466</v>
      </c>
      <c r="D582" s="1" t="s">
        <v>20</v>
      </c>
      <c r="E582" s="1" t="s">
        <v>471</v>
      </c>
      <c r="F582" s="1" t="s">
        <v>91</v>
      </c>
      <c r="G582" s="1"/>
      <c r="H582" s="1"/>
      <c r="I582" s="1"/>
      <c r="J582" s="1"/>
      <c r="K582" s="1"/>
      <c r="L582" s="41">
        <f>973-211.475</f>
        <v>761.52499999999998</v>
      </c>
      <c r="M582" s="41">
        <f>973-211.475</f>
        <v>761.52499999999998</v>
      </c>
      <c r="N582" s="46">
        <f t="shared" si="36"/>
        <v>100</v>
      </c>
    </row>
    <row r="583" spans="1:14" ht="31.2" hidden="1" outlineLevel="5">
      <c r="A583" s="2" t="s">
        <v>479</v>
      </c>
      <c r="B583" s="1" t="s">
        <v>432</v>
      </c>
      <c r="C583" s="1" t="s">
        <v>466</v>
      </c>
      <c r="D583" s="1" t="s">
        <v>20</v>
      </c>
      <c r="E583" s="1" t="s">
        <v>480</v>
      </c>
      <c r="F583" s="1" t="s">
        <v>16</v>
      </c>
      <c r="G583" s="1"/>
      <c r="H583" s="1"/>
      <c r="I583" s="1"/>
      <c r="J583" s="1"/>
      <c r="K583" s="1"/>
      <c r="L583" s="41">
        <f>L584</f>
        <v>0</v>
      </c>
      <c r="M583" s="44"/>
      <c r="N583" s="46" t="e">
        <f t="shared" si="36"/>
        <v>#DIV/0!</v>
      </c>
    </row>
    <row r="584" spans="1:14" ht="31.2" hidden="1" outlineLevel="6">
      <c r="A584" s="2" t="s">
        <v>481</v>
      </c>
      <c r="B584" s="1" t="s">
        <v>432</v>
      </c>
      <c r="C584" s="1" t="s">
        <v>466</v>
      </c>
      <c r="D584" s="1" t="s">
        <v>20</v>
      </c>
      <c r="E584" s="1" t="s">
        <v>482</v>
      </c>
      <c r="F584" s="1" t="s">
        <v>16</v>
      </c>
      <c r="G584" s="1"/>
      <c r="H584" s="1"/>
      <c r="I584" s="1"/>
      <c r="J584" s="1"/>
      <c r="K584" s="1"/>
      <c r="L584" s="41">
        <f>L585</f>
        <v>0</v>
      </c>
      <c r="M584" s="44"/>
      <c r="N584" s="46" t="e">
        <f t="shared" si="36"/>
        <v>#DIV/0!</v>
      </c>
    </row>
    <row r="585" spans="1:14" ht="46.8" hidden="1" outlineLevel="7">
      <c r="A585" s="2" t="s">
        <v>233</v>
      </c>
      <c r="B585" s="1" t="s">
        <v>432</v>
      </c>
      <c r="C585" s="1" t="s">
        <v>466</v>
      </c>
      <c r="D585" s="1" t="s">
        <v>20</v>
      </c>
      <c r="E585" s="1" t="s">
        <v>482</v>
      </c>
      <c r="F585" s="1" t="s">
        <v>234</v>
      </c>
      <c r="G585" s="1"/>
      <c r="H585" s="1"/>
      <c r="I585" s="1"/>
      <c r="J585" s="1"/>
      <c r="K585" s="1"/>
      <c r="L585" s="41">
        <f>20000-20000</f>
        <v>0</v>
      </c>
      <c r="M585" s="44"/>
      <c r="N585" s="46" t="e">
        <f t="shared" si="36"/>
        <v>#DIV/0!</v>
      </c>
    </row>
    <row r="586" spans="1:14" ht="31.2" outlineLevel="5" collapsed="1">
      <c r="A586" s="2" t="s">
        <v>472</v>
      </c>
      <c r="B586" s="1" t="s">
        <v>432</v>
      </c>
      <c r="C586" s="1" t="s">
        <v>466</v>
      </c>
      <c r="D586" s="1" t="s">
        <v>20</v>
      </c>
      <c r="E586" s="1" t="s">
        <v>473</v>
      </c>
      <c r="F586" s="1" t="s">
        <v>16</v>
      </c>
      <c r="G586" s="1"/>
      <c r="H586" s="1"/>
      <c r="I586" s="1"/>
      <c r="J586" s="1"/>
      <c r="K586" s="1"/>
      <c r="L586" s="41">
        <f>L587</f>
        <v>2461</v>
      </c>
      <c r="M586" s="41">
        <f>M587</f>
        <v>2460.9999299999999</v>
      </c>
      <c r="N586" s="46">
        <f t="shared" si="36"/>
        <v>99.999997155627796</v>
      </c>
    </row>
    <row r="587" spans="1:14" ht="31.2" outlineLevel="6">
      <c r="A587" s="2" t="s">
        <v>483</v>
      </c>
      <c r="B587" s="1" t="s">
        <v>432</v>
      </c>
      <c r="C587" s="1" t="s">
        <v>466</v>
      </c>
      <c r="D587" s="1" t="s">
        <v>20</v>
      </c>
      <c r="E587" s="1" t="s">
        <v>484</v>
      </c>
      <c r="F587" s="1" t="s">
        <v>16</v>
      </c>
      <c r="G587" s="1"/>
      <c r="H587" s="1"/>
      <c r="I587" s="1"/>
      <c r="J587" s="1"/>
      <c r="K587" s="1"/>
      <c r="L587" s="41">
        <f>L588</f>
        <v>2461</v>
      </c>
      <c r="M587" s="41">
        <f>M588</f>
        <v>2460.9999299999999</v>
      </c>
      <c r="N587" s="46">
        <f t="shared" si="36"/>
        <v>99.999997155627796</v>
      </c>
    </row>
    <row r="588" spans="1:14" ht="62.4" outlineLevel="7">
      <c r="A588" s="2" t="s">
        <v>90</v>
      </c>
      <c r="B588" s="1" t="s">
        <v>432</v>
      </c>
      <c r="C588" s="1" t="s">
        <v>466</v>
      </c>
      <c r="D588" s="1" t="s">
        <v>20</v>
      </c>
      <c r="E588" s="1" t="s">
        <v>484</v>
      </c>
      <c r="F588" s="1" t="s">
        <v>91</v>
      </c>
      <c r="G588" s="1"/>
      <c r="H588" s="1"/>
      <c r="I588" s="1"/>
      <c r="J588" s="1"/>
      <c r="K588" s="1"/>
      <c r="L588" s="41">
        <f>1911+350+200</f>
        <v>2461</v>
      </c>
      <c r="M588" s="41">
        <v>2460.9999299999999</v>
      </c>
      <c r="N588" s="46">
        <f t="shared" si="36"/>
        <v>99.999997155627796</v>
      </c>
    </row>
    <row r="589" spans="1:14" ht="31.2" outlineLevel="2">
      <c r="A589" s="5" t="s">
        <v>485</v>
      </c>
      <c r="B589" s="6" t="s">
        <v>432</v>
      </c>
      <c r="C589" s="6" t="s">
        <v>466</v>
      </c>
      <c r="D589" s="6" t="s">
        <v>46</v>
      </c>
      <c r="E589" s="6"/>
      <c r="F589" s="6"/>
      <c r="G589" s="6"/>
      <c r="H589" s="6"/>
      <c r="I589" s="6"/>
      <c r="J589" s="6"/>
      <c r="K589" s="6"/>
      <c r="L589" s="40">
        <f>L590</f>
        <v>2093.1</v>
      </c>
      <c r="M589" s="40">
        <f>M590</f>
        <v>2086.3209700000002</v>
      </c>
      <c r="N589" s="47">
        <f t="shared" si="36"/>
        <v>99.676124886531952</v>
      </c>
    </row>
    <row r="590" spans="1:14" ht="46.8" outlineLevel="3">
      <c r="A590" s="2" t="s">
        <v>441</v>
      </c>
      <c r="B590" s="1" t="s">
        <v>432</v>
      </c>
      <c r="C590" s="1" t="s">
        <v>466</v>
      </c>
      <c r="D590" s="1" t="s">
        <v>46</v>
      </c>
      <c r="E590" s="1" t="s">
        <v>442</v>
      </c>
      <c r="F590" s="1" t="s">
        <v>16</v>
      </c>
      <c r="G590" s="1"/>
      <c r="H590" s="1"/>
      <c r="I590" s="1"/>
      <c r="J590" s="1"/>
      <c r="K590" s="1"/>
      <c r="L590" s="41">
        <f>L591</f>
        <v>2093.1</v>
      </c>
      <c r="M590" s="41">
        <f>M591</f>
        <v>2086.3209700000002</v>
      </c>
      <c r="N590" s="46">
        <f t="shared" si="36"/>
        <v>99.676124886531952</v>
      </c>
    </row>
    <row r="591" spans="1:14" ht="46.8" outlineLevel="5">
      <c r="A591" s="2" t="s">
        <v>69</v>
      </c>
      <c r="B591" s="1" t="s">
        <v>432</v>
      </c>
      <c r="C591" s="1" t="s">
        <v>466</v>
      </c>
      <c r="D591" s="1" t="s">
        <v>46</v>
      </c>
      <c r="E591" s="1" t="s">
        <v>461</v>
      </c>
      <c r="F591" s="1" t="s">
        <v>16</v>
      </c>
      <c r="G591" s="1"/>
      <c r="H591" s="1"/>
      <c r="I591" s="1"/>
      <c r="J591" s="1"/>
      <c r="K591" s="1"/>
      <c r="L591" s="41">
        <f>L592+L594</f>
        <v>2093.1</v>
      </c>
      <c r="M591" s="41">
        <f>M592+M594</f>
        <v>2086.3209700000002</v>
      </c>
      <c r="N591" s="46">
        <f t="shared" si="36"/>
        <v>99.676124886531952</v>
      </c>
    </row>
    <row r="592" spans="1:14" ht="31.2" outlineLevel="6">
      <c r="A592" s="2" t="s">
        <v>33</v>
      </c>
      <c r="B592" s="1" t="s">
        <v>432</v>
      </c>
      <c r="C592" s="1" t="s">
        <v>466</v>
      </c>
      <c r="D592" s="1" t="s">
        <v>46</v>
      </c>
      <c r="E592" s="1" t="s">
        <v>486</v>
      </c>
      <c r="F592" s="1" t="s">
        <v>16</v>
      </c>
      <c r="G592" s="1"/>
      <c r="H592" s="1"/>
      <c r="I592" s="1"/>
      <c r="J592" s="1"/>
      <c r="K592" s="1"/>
      <c r="L592" s="41">
        <f>L593</f>
        <v>2067.1999999999998</v>
      </c>
      <c r="M592" s="41">
        <f>M593</f>
        <v>2060.4209700000001</v>
      </c>
      <c r="N592" s="46">
        <f t="shared" si="36"/>
        <v>99.672067047213645</v>
      </c>
    </row>
    <row r="593" spans="1:14" ht="109.2" outlineLevel="7">
      <c r="A593" s="2" t="s">
        <v>29</v>
      </c>
      <c r="B593" s="1" t="s">
        <v>432</v>
      </c>
      <c r="C593" s="1" t="s">
        <v>466</v>
      </c>
      <c r="D593" s="1" t="s">
        <v>46</v>
      </c>
      <c r="E593" s="1" t="s">
        <v>486</v>
      </c>
      <c r="F593" s="1" t="s">
        <v>30</v>
      </c>
      <c r="G593" s="1"/>
      <c r="H593" s="1"/>
      <c r="I593" s="1"/>
      <c r="J593" s="1"/>
      <c r="K593" s="1"/>
      <c r="L593" s="41">
        <v>2067.1999999999998</v>
      </c>
      <c r="M593" s="44">
        <v>2060.4209700000001</v>
      </c>
      <c r="N593" s="46">
        <f t="shared" si="36"/>
        <v>99.672067047213645</v>
      </c>
    </row>
    <row r="594" spans="1:14" ht="31.2" outlineLevel="6">
      <c r="A594" s="2" t="s">
        <v>35</v>
      </c>
      <c r="B594" s="1" t="s">
        <v>432</v>
      </c>
      <c r="C594" s="1" t="s">
        <v>466</v>
      </c>
      <c r="D594" s="1" t="s">
        <v>46</v>
      </c>
      <c r="E594" s="1" t="s">
        <v>487</v>
      </c>
      <c r="F594" s="1" t="s">
        <v>16</v>
      </c>
      <c r="G594" s="1"/>
      <c r="H594" s="1"/>
      <c r="I594" s="1"/>
      <c r="J594" s="1"/>
      <c r="K594" s="1"/>
      <c r="L594" s="41">
        <f>L595</f>
        <v>25.9</v>
      </c>
      <c r="M594" s="41">
        <f>M595</f>
        <v>25.9</v>
      </c>
      <c r="N594" s="46">
        <f t="shared" si="36"/>
        <v>100</v>
      </c>
    </row>
    <row r="595" spans="1:14" ht="46.8" outlineLevel="7">
      <c r="A595" s="2" t="s">
        <v>41</v>
      </c>
      <c r="B595" s="1" t="s">
        <v>432</v>
      </c>
      <c r="C595" s="1" t="s">
        <v>466</v>
      </c>
      <c r="D595" s="1" t="s">
        <v>46</v>
      </c>
      <c r="E595" s="1" t="s">
        <v>487</v>
      </c>
      <c r="F595" s="1" t="s">
        <v>42</v>
      </c>
      <c r="G595" s="1"/>
      <c r="H595" s="1"/>
      <c r="I595" s="1"/>
      <c r="J595" s="1"/>
      <c r="K595" s="1"/>
      <c r="L595" s="41">
        <v>25.9</v>
      </c>
      <c r="M595" s="41">
        <v>25.9</v>
      </c>
      <c r="N595" s="46">
        <f t="shared" si="36"/>
        <v>100</v>
      </c>
    </row>
    <row r="596" spans="1:14" ht="31.2">
      <c r="A596" s="3" t="s">
        <v>488</v>
      </c>
      <c r="B596" s="4" t="s">
        <v>489</v>
      </c>
      <c r="C596" s="4"/>
      <c r="D596" s="4"/>
      <c r="E596" s="4"/>
      <c r="F596" s="4"/>
      <c r="G596" s="4"/>
      <c r="H596" s="4"/>
      <c r="I596" s="4"/>
      <c r="J596" s="4"/>
      <c r="K596" s="4"/>
      <c r="L596" s="39">
        <f>L597+L692</f>
        <v>1030743.9</v>
      </c>
      <c r="M596" s="39">
        <f>M597+M692</f>
        <v>1030679.2358700001</v>
      </c>
      <c r="N596" s="49">
        <f t="shared" si="36"/>
        <v>99.993726460083835</v>
      </c>
    </row>
    <row r="597" spans="1:14" ht="15.6" outlineLevel="1">
      <c r="A597" s="3" t="s">
        <v>364</v>
      </c>
      <c r="B597" s="4" t="s">
        <v>489</v>
      </c>
      <c r="C597" s="4" t="s">
        <v>365</v>
      </c>
      <c r="D597" s="4"/>
      <c r="E597" s="4"/>
      <c r="F597" s="4"/>
      <c r="G597" s="4"/>
      <c r="H597" s="4"/>
      <c r="I597" s="4"/>
      <c r="J597" s="4"/>
      <c r="K597" s="4"/>
      <c r="L597" s="39">
        <f>L598+L614+L661+L673</f>
        <v>938285.19113000005</v>
      </c>
      <c r="M597" s="39">
        <f>M598+M614+M661+M673</f>
        <v>938220.52700000012</v>
      </c>
      <c r="N597" s="49">
        <f t="shared" si="36"/>
        <v>99.993108264884583</v>
      </c>
    </row>
    <row r="598" spans="1:14" ht="15.6" outlineLevel="2">
      <c r="A598" s="5" t="s">
        <v>490</v>
      </c>
      <c r="B598" s="6" t="s">
        <v>489</v>
      </c>
      <c r="C598" s="6" t="s">
        <v>365</v>
      </c>
      <c r="D598" s="6" t="s">
        <v>18</v>
      </c>
      <c r="E598" s="6" t="s">
        <v>15</v>
      </c>
      <c r="F598" s="6" t="s">
        <v>16</v>
      </c>
      <c r="G598" s="6"/>
      <c r="H598" s="6"/>
      <c r="I598" s="6"/>
      <c r="J598" s="6"/>
      <c r="K598" s="6"/>
      <c r="L598" s="40">
        <f t="shared" ref="L598:M600" si="37">L599</f>
        <v>415926.27520999999</v>
      </c>
      <c r="M598" s="40">
        <f t="shared" si="37"/>
        <v>415926.27520999999</v>
      </c>
      <c r="N598" s="47">
        <f t="shared" si="36"/>
        <v>100</v>
      </c>
    </row>
    <row r="599" spans="1:14" ht="46.8" outlineLevel="3">
      <c r="A599" s="2" t="s">
        <v>452</v>
      </c>
      <c r="B599" s="1" t="s">
        <v>489</v>
      </c>
      <c r="C599" s="1" t="s">
        <v>365</v>
      </c>
      <c r="D599" s="1" t="s">
        <v>18</v>
      </c>
      <c r="E599" s="1" t="s">
        <v>453</v>
      </c>
      <c r="F599" s="1" t="s">
        <v>16</v>
      </c>
      <c r="G599" s="1"/>
      <c r="H599" s="1"/>
      <c r="I599" s="1"/>
      <c r="J599" s="1"/>
      <c r="K599" s="1"/>
      <c r="L599" s="41">
        <f t="shared" si="37"/>
        <v>415926.27520999999</v>
      </c>
      <c r="M599" s="41">
        <f t="shared" si="37"/>
        <v>415926.27520999999</v>
      </c>
      <c r="N599" s="46">
        <f t="shared" si="36"/>
        <v>100</v>
      </c>
    </row>
    <row r="600" spans="1:14" ht="46.8" outlineLevel="4">
      <c r="A600" s="2" t="s">
        <v>454</v>
      </c>
      <c r="B600" s="1" t="s">
        <v>489</v>
      </c>
      <c r="C600" s="1" t="s">
        <v>365</v>
      </c>
      <c r="D600" s="1" t="s">
        <v>18</v>
      </c>
      <c r="E600" s="1" t="s">
        <v>455</v>
      </c>
      <c r="F600" s="1" t="s">
        <v>16</v>
      </c>
      <c r="G600" s="1"/>
      <c r="H600" s="1"/>
      <c r="I600" s="1"/>
      <c r="J600" s="1"/>
      <c r="K600" s="1"/>
      <c r="L600" s="41">
        <f t="shared" si="37"/>
        <v>415926.27520999999</v>
      </c>
      <c r="M600" s="41">
        <f t="shared" si="37"/>
        <v>415926.27520999999</v>
      </c>
      <c r="N600" s="46">
        <f t="shared" si="36"/>
        <v>100</v>
      </c>
    </row>
    <row r="601" spans="1:14" ht="62.4" outlineLevel="5">
      <c r="A601" s="2" t="s">
        <v>491</v>
      </c>
      <c r="B601" s="1" t="s">
        <v>489</v>
      </c>
      <c r="C601" s="1" t="s">
        <v>365</v>
      </c>
      <c r="D601" s="1" t="s">
        <v>18</v>
      </c>
      <c r="E601" s="1" t="s">
        <v>492</v>
      </c>
      <c r="F601" s="1" t="s">
        <v>16</v>
      </c>
      <c r="G601" s="1"/>
      <c r="H601" s="1"/>
      <c r="I601" s="1"/>
      <c r="J601" s="1"/>
      <c r="K601" s="1"/>
      <c r="L601" s="41">
        <f>L602+L604+L606+L608+L610+L612</f>
        <v>415926.27520999999</v>
      </c>
      <c r="M601" s="41">
        <f>M602+M604+M606+M608+M610+M612</f>
        <v>415926.27520999999</v>
      </c>
      <c r="N601" s="46">
        <f t="shared" si="36"/>
        <v>100</v>
      </c>
    </row>
    <row r="602" spans="1:14" ht="46.8" outlineLevel="6">
      <c r="A602" s="2" t="s">
        <v>493</v>
      </c>
      <c r="B602" s="1" t="s">
        <v>489</v>
      </c>
      <c r="C602" s="1" t="s">
        <v>365</v>
      </c>
      <c r="D602" s="1" t="s">
        <v>18</v>
      </c>
      <c r="E602" s="1" t="s">
        <v>494</v>
      </c>
      <c r="F602" s="1" t="s">
        <v>16</v>
      </c>
      <c r="G602" s="1"/>
      <c r="H602" s="1"/>
      <c r="I602" s="1"/>
      <c r="J602" s="1"/>
      <c r="K602" s="1"/>
      <c r="L602" s="41">
        <f>L603</f>
        <v>3947</v>
      </c>
      <c r="M602" s="41">
        <f>M603</f>
        <v>3947</v>
      </c>
      <c r="N602" s="46">
        <f t="shared" si="36"/>
        <v>100</v>
      </c>
    </row>
    <row r="603" spans="1:14" ht="62.4" outlineLevel="7">
      <c r="A603" s="2" t="s">
        <v>90</v>
      </c>
      <c r="B603" s="1" t="s">
        <v>489</v>
      </c>
      <c r="C603" s="1" t="s">
        <v>365</v>
      </c>
      <c r="D603" s="1" t="s">
        <v>18</v>
      </c>
      <c r="E603" s="1" t="s">
        <v>494</v>
      </c>
      <c r="F603" s="1" t="s">
        <v>91</v>
      </c>
      <c r="G603" s="1"/>
      <c r="H603" s="1"/>
      <c r="I603" s="1"/>
      <c r="J603" s="1"/>
      <c r="K603" s="1"/>
      <c r="L603" s="41">
        <v>3947</v>
      </c>
      <c r="M603" s="41">
        <v>3947</v>
      </c>
      <c r="N603" s="46">
        <f t="shared" si="36"/>
        <v>100</v>
      </c>
    </row>
    <row r="604" spans="1:14" ht="31.2" outlineLevel="6">
      <c r="A604" s="2" t="s">
        <v>495</v>
      </c>
      <c r="B604" s="1" t="s">
        <v>489</v>
      </c>
      <c r="C604" s="1" t="s">
        <v>365</v>
      </c>
      <c r="D604" s="1" t="s">
        <v>18</v>
      </c>
      <c r="E604" s="1" t="s">
        <v>496</v>
      </c>
      <c r="F604" s="1" t="s">
        <v>16</v>
      </c>
      <c r="G604" s="1"/>
      <c r="H604" s="1"/>
      <c r="I604" s="1"/>
      <c r="J604" s="1"/>
      <c r="K604" s="1"/>
      <c r="L604" s="41">
        <f>L605</f>
        <v>2857.06</v>
      </c>
      <c r="M604" s="41">
        <f>M605</f>
        <v>2857.0562300000001</v>
      </c>
      <c r="N604" s="46">
        <f t="shared" si="36"/>
        <v>99.999868046173347</v>
      </c>
    </row>
    <row r="605" spans="1:14" ht="62.4" outlineLevel="7">
      <c r="A605" s="2" t="s">
        <v>90</v>
      </c>
      <c r="B605" s="1" t="s">
        <v>489</v>
      </c>
      <c r="C605" s="1" t="s">
        <v>365</v>
      </c>
      <c r="D605" s="1" t="s">
        <v>18</v>
      </c>
      <c r="E605" s="1" t="s">
        <v>496</v>
      </c>
      <c r="F605" s="1" t="s">
        <v>91</v>
      </c>
      <c r="G605" s="1"/>
      <c r="H605" s="1"/>
      <c r="I605" s="1"/>
      <c r="J605" s="1"/>
      <c r="K605" s="1"/>
      <c r="L605" s="41">
        <f>2999.7-142.64</f>
        <v>2857.06</v>
      </c>
      <c r="M605" s="41">
        <v>2857.0562300000001</v>
      </c>
      <c r="N605" s="46">
        <f t="shared" si="36"/>
        <v>99.999868046173347</v>
      </c>
    </row>
    <row r="606" spans="1:14" ht="46.8" outlineLevel="6">
      <c r="A606" s="2" t="s">
        <v>497</v>
      </c>
      <c r="B606" s="1" t="s">
        <v>489</v>
      </c>
      <c r="C606" s="1" t="s">
        <v>365</v>
      </c>
      <c r="D606" s="1" t="s">
        <v>18</v>
      </c>
      <c r="E606" s="1" t="s">
        <v>498</v>
      </c>
      <c r="F606" s="1" t="s">
        <v>16</v>
      </c>
      <c r="G606" s="1"/>
      <c r="H606" s="1"/>
      <c r="I606" s="1"/>
      <c r="J606" s="1"/>
      <c r="K606" s="1"/>
      <c r="L606" s="41">
        <f>L607</f>
        <v>150</v>
      </c>
      <c r="M606" s="41">
        <f>M607</f>
        <v>150</v>
      </c>
      <c r="N606" s="46">
        <f t="shared" si="36"/>
        <v>100</v>
      </c>
    </row>
    <row r="607" spans="1:14" ht="31.2" outlineLevel="7">
      <c r="A607" s="2" t="s">
        <v>77</v>
      </c>
      <c r="B607" s="1" t="s">
        <v>489</v>
      </c>
      <c r="C607" s="1" t="s">
        <v>365</v>
      </c>
      <c r="D607" s="1" t="s">
        <v>18</v>
      </c>
      <c r="E607" s="1" t="s">
        <v>498</v>
      </c>
      <c r="F607" s="1" t="s">
        <v>78</v>
      </c>
      <c r="G607" s="1"/>
      <c r="H607" s="1"/>
      <c r="I607" s="1"/>
      <c r="J607" s="1"/>
      <c r="K607" s="1"/>
      <c r="L607" s="41">
        <v>150</v>
      </c>
      <c r="M607" s="41">
        <v>150</v>
      </c>
      <c r="N607" s="46">
        <f t="shared" si="36"/>
        <v>100</v>
      </c>
    </row>
    <row r="608" spans="1:14" ht="62.4" outlineLevel="6">
      <c r="A608" s="2" t="s">
        <v>499</v>
      </c>
      <c r="B608" s="1" t="s">
        <v>489</v>
      </c>
      <c r="C608" s="1" t="s">
        <v>365</v>
      </c>
      <c r="D608" s="1" t="s">
        <v>18</v>
      </c>
      <c r="E608" s="1" t="s">
        <v>500</v>
      </c>
      <c r="F608" s="1" t="s">
        <v>16</v>
      </c>
      <c r="G608" s="1"/>
      <c r="H608" s="1"/>
      <c r="I608" s="1"/>
      <c r="J608" s="1"/>
      <c r="K608" s="1"/>
      <c r="L608" s="41">
        <f>L609</f>
        <v>221638</v>
      </c>
      <c r="M608" s="41">
        <f>M609</f>
        <v>221638</v>
      </c>
      <c r="N608" s="46">
        <f t="shared" si="36"/>
        <v>100</v>
      </c>
    </row>
    <row r="609" spans="1:14" ht="62.4" outlineLevel="7">
      <c r="A609" s="2" t="s">
        <v>90</v>
      </c>
      <c r="B609" s="1" t="s">
        <v>489</v>
      </c>
      <c r="C609" s="1" t="s">
        <v>365</v>
      </c>
      <c r="D609" s="1" t="s">
        <v>18</v>
      </c>
      <c r="E609" s="1" t="s">
        <v>500</v>
      </c>
      <c r="F609" s="1" t="s">
        <v>91</v>
      </c>
      <c r="G609" s="1"/>
      <c r="H609" s="1"/>
      <c r="I609" s="1"/>
      <c r="J609" s="1"/>
      <c r="K609" s="1"/>
      <c r="L609" s="41">
        <v>221638</v>
      </c>
      <c r="M609" s="41">
        <v>221638</v>
      </c>
      <c r="N609" s="46">
        <f t="shared" si="36"/>
        <v>100</v>
      </c>
    </row>
    <row r="610" spans="1:14" ht="62.4" outlineLevel="6">
      <c r="A610" s="2" t="s">
        <v>501</v>
      </c>
      <c r="B610" s="1" t="s">
        <v>489</v>
      </c>
      <c r="C610" s="1" t="s">
        <v>365</v>
      </c>
      <c r="D610" s="1" t="s">
        <v>18</v>
      </c>
      <c r="E610" s="1" t="s">
        <v>502</v>
      </c>
      <c r="F610" s="1" t="s">
        <v>16</v>
      </c>
      <c r="G610" s="1"/>
      <c r="H610" s="1"/>
      <c r="I610" s="1"/>
      <c r="J610" s="1"/>
      <c r="K610" s="1"/>
      <c r="L610" s="41">
        <f>L611</f>
        <v>870.37521000000004</v>
      </c>
      <c r="M610" s="41">
        <f>M611</f>
        <v>870.37521000000004</v>
      </c>
      <c r="N610" s="46">
        <f t="shared" si="36"/>
        <v>100</v>
      </c>
    </row>
    <row r="611" spans="1:14" ht="62.4" outlineLevel="7">
      <c r="A611" s="2" t="s">
        <v>90</v>
      </c>
      <c r="B611" s="1" t="s">
        <v>489</v>
      </c>
      <c r="C611" s="1" t="s">
        <v>365</v>
      </c>
      <c r="D611" s="1" t="s">
        <v>18</v>
      </c>
      <c r="E611" s="1" t="s">
        <v>502</v>
      </c>
      <c r="F611" s="1" t="s">
        <v>91</v>
      </c>
      <c r="G611" s="1"/>
      <c r="H611" s="1"/>
      <c r="I611" s="1"/>
      <c r="J611" s="1"/>
      <c r="K611" s="1"/>
      <c r="L611" s="41">
        <f>942.4+48.6-120.62479</f>
        <v>870.37521000000004</v>
      </c>
      <c r="M611" s="41">
        <f>942.4+48.6-120.62479</f>
        <v>870.37521000000004</v>
      </c>
      <c r="N611" s="46">
        <f t="shared" si="36"/>
        <v>100</v>
      </c>
    </row>
    <row r="612" spans="1:14" ht="46.8" outlineLevel="6">
      <c r="A612" s="2" t="s">
        <v>503</v>
      </c>
      <c r="B612" s="1" t="s">
        <v>489</v>
      </c>
      <c r="C612" s="1" t="s">
        <v>365</v>
      </c>
      <c r="D612" s="1" t="s">
        <v>18</v>
      </c>
      <c r="E612" s="1" t="s">
        <v>504</v>
      </c>
      <c r="F612" s="1" t="s">
        <v>16</v>
      </c>
      <c r="G612" s="1"/>
      <c r="H612" s="1"/>
      <c r="I612" s="1"/>
      <c r="J612" s="1"/>
      <c r="K612" s="1"/>
      <c r="L612" s="41">
        <f>L613</f>
        <v>186463.84000000003</v>
      </c>
      <c r="M612" s="41">
        <f>M613</f>
        <v>186463.84377000001</v>
      </c>
      <c r="N612" s="46">
        <f t="shared" si="36"/>
        <v>100.00000202183972</v>
      </c>
    </row>
    <row r="613" spans="1:14" ht="62.4" outlineLevel="7">
      <c r="A613" s="2" t="s">
        <v>90</v>
      </c>
      <c r="B613" s="1" t="s">
        <v>489</v>
      </c>
      <c r="C613" s="1" t="s">
        <v>365</v>
      </c>
      <c r="D613" s="1" t="s">
        <v>18</v>
      </c>
      <c r="E613" s="1" t="s">
        <v>504</v>
      </c>
      <c r="F613" s="1" t="s">
        <v>91</v>
      </c>
      <c r="G613" s="1"/>
      <c r="H613" s="1"/>
      <c r="I613" s="1"/>
      <c r="J613" s="1"/>
      <c r="K613" s="1"/>
      <c r="L613" s="41">
        <f>176601.6+929.6+4742.5+590.14+3600</f>
        <v>186463.84000000003</v>
      </c>
      <c r="M613" s="41">
        <v>186463.84377000001</v>
      </c>
      <c r="N613" s="46">
        <f t="shared" si="36"/>
        <v>100.00000202183972</v>
      </c>
    </row>
    <row r="614" spans="1:14" ht="15.6" outlineLevel="2">
      <c r="A614" s="5" t="s">
        <v>366</v>
      </c>
      <c r="B614" s="6" t="s">
        <v>489</v>
      </c>
      <c r="C614" s="6" t="s">
        <v>365</v>
      </c>
      <c r="D614" s="6" t="s">
        <v>20</v>
      </c>
      <c r="E614" s="6"/>
      <c r="F614" s="6"/>
      <c r="G614" s="6"/>
      <c r="H614" s="6"/>
      <c r="I614" s="6"/>
      <c r="J614" s="6"/>
      <c r="K614" s="6"/>
      <c r="L614" s="40">
        <f>L615+L620</f>
        <v>466409.19592000009</v>
      </c>
      <c r="M614" s="40">
        <f>M615+M620</f>
        <v>466409.19592000009</v>
      </c>
      <c r="N614" s="47">
        <f t="shared" si="36"/>
        <v>100</v>
      </c>
    </row>
    <row r="615" spans="1:14" ht="62.4" outlineLevel="2">
      <c r="A615" s="2" t="s">
        <v>433</v>
      </c>
      <c r="B615" s="1" t="s">
        <v>489</v>
      </c>
      <c r="C615" s="1" t="s">
        <v>365</v>
      </c>
      <c r="D615" s="1" t="s">
        <v>20</v>
      </c>
      <c r="E615" s="1" t="s">
        <v>434</v>
      </c>
      <c r="F615" s="1" t="s">
        <v>16</v>
      </c>
      <c r="G615" s="6"/>
      <c r="H615" s="6"/>
      <c r="I615" s="6"/>
      <c r="J615" s="6"/>
      <c r="K615" s="6"/>
      <c r="L615" s="41">
        <f t="shared" ref="L615:M618" si="38">L616</f>
        <v>785</v>
      </c>
      <c r="M615" s="41">
        <f t="shared" si="38"/>
        <v>785</v>
      </c>
      <c r="N615" s="46">
        <f t="shared" si="36"/>
        <v>100</v>
      </c>
    </row>
    <row r="616" spans="1:14" ht="46.8" outlineLevel="2">
      <c r="A616" s="2" t="s">
        <v>435</v>
      </c>
      <c r="B616" s="1" t="s">
        <v>489</v>
      </c>
      <c r="C616" s="1" t="s">
        <v>365</v>
      </c>
      <c r="D616" s="1" t="s">
        <v>20</v>
      </c>
      <c r="E616" s="1" t="s">
        <v>436</v>
      </c>
      <c r="F616" s="1" t="s">
        <v>16</v>
      </c>
      <c r="G616" s="6"/>
      <c r="H616" s="6"/>
      <c r="I616" s="6"/>
      <c r="J616" s="6"/>
      <c r="K616" s="6"/>
      <c r="L616" s="41">
        <f t="shared" si="38"/>
        <v>785</v>
      </c>
      <c r="M616" s="41">
        <f t="shared" si="38"/>
        <v>785</v>
      </c>
      <c r="N616" s="46">
        <f t="shared" si="36"/>
        <v>100</v>
      </c>
    </row>
    <row r="617" spans="1:14" ht="62.4" outlineLevel="2">
      <c r="A617" s="2" t="s">
        <v>437</v>
      </c>
      <c r="B617" s="1" t="s">
        <v>489</v>
      </c>
      <c r="C617" s="1" t="s">
        <v>365</v>
      </c>
      <c r="D617" s="1" t="s">
        <v>20</v>
      </c>
      <c r="E617" s="1" t="s">
        <v>438</v>
      </c>
      <c r="F617" s="1" t="s">
        <v>16</v>
      </c>
      <c r="G617" s="6"/>
      <c r="H617" s="6"/>
      <c r="I617" s="6"/>
      <c r="J617" s="6"/>
      <c r="K617" s="6"/>
      <c r="L617" s="41">
        <f t="shared" si="38"/>
        <v>785</v>
      </c>
      <c r="M617" s="41">
        <f t="shared" si="38"/>
        <v>785</v>
      </c>
      <c r="N617" s="46">
        <f t="shared" si="36"/>
        <v>100</v>
      </c>
    </row>
    <row r="618" spans="1:14" ht="62.4" outlineLevel="2">
      <c r="A618" s="2" t="s">
        <v>439</v>
      </c>
      <c r="B618" s="1" t="s">
        <v>489</v>
      </c>
      <c r="C618" s="1" t="s">
        <v>365</v>
      </c>
      <c r="D618" s="1" t="s">
        <v>20</v>
      </c>
      <c r="E618" s="1" t="s">
        <v>440</v>
      </c>
      <c r="F618" s="1" t="s">
        <v>16</v>
      </c>
      <c r="G618" s="6"/>
      <c r="H618" s="6"/>
      <c r="I618" s="6"/>
      <c r="J618" s="6"/>
      <c r="K618" s="6"/>
      <c r="L618" s="41">
        <f t="shared" si="38"/>
        <v>785</v>
      </c>
      <c r="M618" s="41">
        <f t="shared" si="38"/>
        <v>785</v>
      </c>
      <c r="N618" s="46">
        <f t="shared" si="36"/>
        <v>100</v>
      </c>
    </row>
    <row r="619" spans="1:14" ht="62.4" outlineLevel="2">
      <c r="A619" s="2" t="s">
        <v>90</v>
      </c>
      <c r="B619" s="1" t="s">
        <v>489</v>
      </c>
      <c r="C619" s="1" t="s">
        <v>365</v>
      </c>
      <c r="D619" s="1" t="s">
        <v>20</v>
      </c>
      <c r="E619" s="1" t="s">
        <v>440</v>
      </c>
      <c r="F619" s="1" t="s">
        <v>91</v>
      </c>
      <c r="G619" s="6"/>
      <c r="H619" s="6"/>
      <c r="I619" s="6"/>
      <c r="J619" s="6"/>
      <c r="K619" s="6"/>
      <c r="L619" s="41">
        <v>785</v>
      </c>
      <c r="M619" s="41">
        <v>785</v>
      </c>
      <c r="N619" s="46">
        <f t="shared" si="36"/>
        <v>100</v>
      </c>
    </row>
    <row r="620" spans="1:14" ht="46.8" outlineLevel="3">
      <c r="A620" s="2" t="s">
        <v>452</v>
      </c>
      <c r="B620" s="1" t="s">
        <v>489</v>
      </c>
      <c r="C620" s="1" t="s">
        <v>365</v>
      </c>
      <c r="D620" s="1" t="s">
        <v>20</v>
      </c>
      <c r="E620" s="1" t="s">
        <v>453</v>
      </c>
      <c r="F620" s="1" t="s">
        <v>16</v>
      </c>
      <c r="G620" s="1"/>
      <c r="H620" s="1"/>
      <c r="I620" s="1"/>
      <c r="J620" s="1"/>
      <c r="K620" s="1"/>
      <c r="L620" s="41">
        <f>L621</f>
        <v>465624.19592000009</v>
      </c>
      <c r="M620" s="41">
        <f>M621</f>
        <v>465624.19592000009</v>
      </c>
      <c r="N620" s="46">
        <f t="shared" si="36"/>
        <v>100</v>
      </c>
    </row>
    <row r="621" spans="1:14" ht="46.8" outlineLevel="4">
      <c r="A621" s="2" t="s">
        <v>454</v>
      </c>
      <c r="B621" s="1" t="s">
        <v>489</v>
      </c>
      <c r="C621" s="1" t="s">
        <v>365</v>
      </c>
      <c r="D621" s="1" t="s">
        <v>20</v>
      </c>
      <c r="E621" s="1" t="s">
        <v>455</v>
      </c>
      <c r="F621" s="1" t="s">
        <v>16</v>
      </c>
      <c r="G621" s="1"/>
      <c r="H621" s="1"/>
      <c r="I621" s="1"/>
      <c r="J621" s="1"/>
      <c r="K621" s="1"/>
      <c r="L621" s="41">
        <f>L622+L650</f>
        <v>465624.19592000009</v>
      </c>
      <c r="M621" s="41">
        <f>M622+M650</f>
        <v>465624.19592000009</v>
      </c>
      <c r="N621" s="46">
        <f t="shared" si="36"/>
        <v>100</v>
      </c>
    </row>
    <row r="622" spans="1:14" ht="62.4" outlineLevel="5">
      <c r="A622" s="2" t="s">
        <v>505</v>
      </c>
      <c r="B622" s="1" t="s">
        <v>489</v>
      </c>
      <c r="C622" s="1" t="s">
        <v>365</v>
      </c>
      <c r="D622" s="1" t="s">
        <v>20</v>
      </c>
      <c r="E622" s="1" t="s">
        <v>506</v>
      </c>
      <c r="F622" s="1" t="s">
        <v>16</v>
      </c>
      <c r="G622" s="1"/>
      <c r="H622" s="1"/>
      <c r="I622" s="1"/>
      <c r="J622" s="1"/>
      <c r="K622" s="1"/>
      <c r="L622" s="41">
        <f>L623+L626+L628+L630+L632+L634+L636+L640+L642+L646+L648+L638+L644</f>
        <v>431426.11592000007</v>
      </c>
      <c r="M622" s="41">
        <f>M623+M626+M628+M630+M632+M634+M636+M640+M642+M646+M648+M638+M644</f>
        <v>431426.11592000007</v>
      </c>
      <c r="N622" s="46">
        <f t="shared" si="36"/>
        <v>100</v>
      </c>
    </row>
    <row r="623" spans="1:14" ht="62.4" outlineLevel="6">
      <c r="A623" s="2" t="s">
        <v>698</v>
      </c>
      <c r="B623" s="1" t="s">
        <v>489</v>
      </c>
      <c r="C623" s="1" t="s">
        <v>365</v>
      </c>
      <c r="D623" s="1" t="s">
        <v>20</v>
      </c>
      <c r="E623" s="1" t="s">
        <v>507</v>
      </c>
      <c r="F623" s="1" t="s">
        <v>16</v>
      </c>
      <c r="G623" s="1"/>
      <c r="H623" s="1"/>
      <c r="I623" s="1"/>
      <c r="J623" s="1"/>
      <c r="K623" s="1"/>
      <c r="L623" s="41">
        <f>L625+L624</f>
        <v>210</v>
      </c>
      <c r="M623" s="41">
        <f>M625+M624</f>
        <v>210</v>
      </c>
      <c r="N623" s="46">
        <f t="shared" si="36"/>
        <v>100</v>
      </c>
    </row>
    <row r="624" spans="1:14" ht="47.25" customHeight="1" outlineLevel="6">
      <c r="A624" s="2" t="s">
        <v>41</v>
      </c>
      <c r="B624" s="1" t="s">
        <v>489</v>
      </c>
      <c r="C624" s="1" t="s">
        <v>365</v>
      </c>
      <c r="D624" s="1" t="s">
        <v>20</v>
      </c>
      <c r="E624" s="1" t="s">
        <v>507</v>
      </c>
      <c r="F624" s="1" t="s">
        <v>42</v>
      </c>
      <c r="G624" s="1"/>
      <c r="H624" s="1"/>
      <c r="I624" s="1"/>
      <c r="J624" s="1"/>
      <c r="K624" s="1"/>
      <c r="L624" s="41">
        <v>18.920000000000002</v>
      </c>
      <c r="M624" s="41">
        <v>18.920000000000002</v>
      </c>
      <c r="N624" s="46">
        <f t="shared" si="36"/>
        <v>100</v>
      </c>
    </row>
    <row r="625" spans="1:14" ht="62.4" outlineLevel="7">
      <c r="A625" s="2" t="s">
        <v>90</v>
      </c>
      <c r="B625" s="1" t="s">
        <v>489</v>
      </c>
      <c r="C625" s="1" t="s">
        <v>365</v>
      </c>
      <c r="D625" s="1" t="s">
        <v>20</v>
      </c>
      <c r="E625" s="1" t="s">
        <v>507</v>
      </c>
      <c r="F625" s="1" t="s">
        <v>91</v>
      </c>
      <c r="G625" s="1"/>
      <c r="H625" s="1"/>
      <c r="I625" s="1"/>
      <c r="J625" s="1"/>
      <c r="K625" s="1"/>
      <c r="L625" s="41">
        <f>210-18.92</f>
        <v>191.07999999999998</v>
      </c>
      <c r="M625" s="41">
        <f>210-18.92</f>
        <v>191.07999999999998</v>
      </c>
      <c r="N625" s="46">
        <f t="shared" si="36"/>
        <v>100</v>
      </c>
    </row>
    <row r="626" spans="1:14" ht="46.8" outlineLevel="6">
      <c r="A626" s="2" t="s">
        <v>508</v>
      </c>
      <c r="B626" s="1" t="s">
        <v>489</v>
      </c>
      <c r="C626" s="1" t="s">
        <v>365</v>
      </c>
      <c r="D626" s="1" t="s">
        <v>20</v>
      </c>
      <c r="E626" s="1" t="s">
        <v>509</v>
      </c>
      <c r="F626" s="1" t="s">
        <v>16</v>
      </c>
      <c r="G626" s="1"/>
      <c r="H626" s="1"/>
      <c r="I626" s="1"/>
      <c r="J626" s="1"/>
      <c r="K626" s="1"/>
      <c r="L626" s="41">
        <f>L627</f>
        <v>923.3</v>
      </c>
      <c r="M626" s="41">
        <f>M627</f>
        <v>923.3</v>
      </c>
      <c r="N626" s="46">
        <f t="shared" si="36"/>
        <v>100</v>
      </c>
    </row>
    <row r="627" spans="1:14" ht="62.4" outlineLevel="7">
      <c r="A627" s="2" t="s">
        <v>90</v>
      </c>
      <c r="B627" s="1" t="s">
        <v>489</v>
      </c>
      <c r="C627" s="1" t="s">
        <v>365</v>
      </c>
      <c r="D627" s="1" t="s">
        <v>20</v>
      </c>
      <c r="E627" s="1" t="s">
        <v>509</v>
      </c>
      <c r="F627" s="1" t="s">
        <v>91</v>
      </c>
      <c r="G627" s="1"/>
      <c r="H627" s="1"/>
      <c r="I627" s="1"/>
      <c r="J627" s="1"/>
      <c r="K627" s="1"/>
      <c r="L627" s="41">
        <v>923.3</v>
      </c>
      <c r="M627" s="41">
        <v>923.3</v>
      </c>
      <c r="N627" s="46">
        <f t="shared" ref="N627:N690" si="39">M627/L627*100</f>
        <v>100</v>
      </c>
    </row>
    <row r="628" spans="1:14" ht="31.2" outlineLevel="6">
      <c r="A628" s="2" t="s">
        <v>510</v>
      </c>
      <c r="B628" s="1" t="s">
        <v>489</v>
      </c>
      <c r="C628" s="1" t="s">
        <v>365</v>
      </c>
      <c r="D628" s="1" t="s">
        <v>20</v>
      </c>
      <c r="E628" s="1" t="s">
        <v>511</v>
      </c>
      <c r="F628" s="1" t="s">
        <v>16</v>
      </c>
      <c r="G628" s="1"/>
      <c r="H628" s="1"/>
      <c r="I628" s="1"/>
      <c r="J628" s="1"/>
      <c r="K628" s="1"/>
      <c r="L628" s="41">
        <f>L629</f>
        <v>5563.9000000000005</v>
      </c>
      <c r="M628" s="41">
        <f>M629</f>
        <v>5563.9000000000005</v>
      </c>
      <c r="N628" s="46">
        <f t="shared" si="39"/>
        <v>100</v>
      </c>
    </row>
    <row r="629" spans="1:14" ht="62.4" outlineLevel="7">
      <c r="A629" s="2" t="s">
        <v>90</v>
      </c>
      <c r="B629" s="1" t="s">
        <v>489</v>
      </c>
      <c r="C629" s="1" t="s">
        <v>365</v>
      </c>
      <c r="D629" s="1" t="s">
        <v>20</v>
      </c>
      <c r="E629" s="1" t="s">
        <v>511</v>
      </c>
      <c r="F629" s="1" t="s">
        <v>91</v>
      </c>
      <c r="G629" s="1"/>
      <c r="H629" s="1"/>
      <c r="I629" s="1"/>
      <c r="J629" s="1"/>
      <c r="K629" s="1"/>
      <c r="L629" s="41">
        <f>6295.3-785+53.6</f>
        <v>5563.9000000000005</v>
      </c>
      <c r="M629" s="41">
        <f>6295.3-785+53.6</f>
        <v>5563.9000000000005</v>
      </c>
      <c r="N629" s="46">
        <f t="shared" si="39"/>
        <v>100</v>
      </c>
    </row>
    <row r="630" spans="1:14" ht="31.2" outlineLevel="6">
      <c r="A630" s="2" t="s">
        <v>512</v>
      </c>
      <c r="B630" s="1" t="s">
        <v>489</v>
      </c>
      <c r="C630" s="1" t="s">
        <v>365</v>
      </c>
      <c r="D630" s="1" t="s">
        <v>20</v>
      </c>
      <c r="E630" s="1" t="s">
        <v>513</v>
      </c>
      <c r="F630" s="1" t="s">
        <v>16</v>
      </c>
      <c r="G630" s="1"/>
      <c r="H630" s="1"/>
      <c r="I630" s="1"/>
      <c r="J630" s="1"/>
      <c r="K630" s="1"/>
      <c r="L630" s="41">
        <f>L631</f>
        <v>200</v>
      </c>
      <c r="M630" s="41">
        <f>M631</f>
        <v>200</v>
      </c>
      <c r="N630" s="46">
        <f t="shared" si="39"/>
        <v>100</v>
      </c>
    </row>
    <row r="631" spans="1:14" ht="31.2" outlineLevel="7">
      <c r="A631" s="2" t="s">
        <v>77</v>
      </c>
      <c r="B631" s="1" t="s">
        <v>489</v>
      </c>
      <c r="C631" s="1" t="s">
        <v>365</v>
      </c>
      <c r="D631" s="1" t="s">
        <v>20</v>
      </c>
      <c r="E631" s="1" t="s">
        <v>513</v>
      </c>
      <c r="F631" s="1" t="s">
        <v>78</v>
      </c>
      <c r="G631" s="1"/>
      <c r="H631" s="1"/>
      <c r="I631" s="1"/>
      <c r="J631" s="1"/>
      <c r="K631" s="1"/>
      <c r="L631" s="41">
        <v>200</v>
      </c>
      <c r="M631" s="41">
        <v>200</v>
      </c>
      <c r="N631" s="46">
        <f t="shared" si="39"/>
        <v>100</v>
      </c>
    </row>
    <row r="632" spans="1:14" ht="31.2" outlineLevel="6">
      <c r="A632" s="2" t="s">
        <v>514</v>
      </c>
      <c r="B632" s="1" t="s">
        <v>489</v>
      </c>
      <c r="C632" s="1" t="s">
        <v>365</v>
      </c>
      <c r="D632" s="1" t="s">
        <v>20</v>
      </c>
      <c r="E632" s="1" t="s">
        <v>515</v>
      </c>
      <c r="F632" s="1" t="s">
        <v>16</v>
      </c>
      <c r="G632" s="1"/>
      <c r="H632" s="1"/>
      <c r="I632" s="1"/>
      <c r="J632" s="1"/>
      <c r="K632" s="1"/>
      <c r="L632" s="41">
        <f>L633</f>
        <v>100</v>
      </c>
      <c r="M632" s="41">
        <f>M633</f>
        <v>100</v>
      </c>
      <c r="N632" s="46">
        <f t="shared" si="39"/>
        <v>100</v>
      </c>
    </row>
    <row r="633" spans="1:14" ht="31.2" outlineLevel="7">
      <c r="A633" s="2" t="s">
        <v>77</v>
      </c>
      <c r="B633" s="1" t="s">
        <v>489</v>
      </c>
      <c r="C633" s="1" t="s">
        <v>365</v>
      </c>
      <c r="D633" s="1" t="s">
        <v>20</v>
      </c>
      <c r="E633" s="1" t="s">
        <v>515</v>
      </c>
      <c r="F633" s="1" t="s">
        <v>78</v>
      </c>
      <c r="G633" s="1"/>
      <c r="H633" s="1"/>
      <c r="I633" s="1"/>
      <c r="J633" s="1"/>
      <c r="K633" s="1"/>
      <c r="L633" s="41">
        <v>100</v>
      </c>
      <c r="M633" s="41">
        <v>100</v>
      </c>
      <c r="N633" s="46">
        <f t="shared" si="39"/>
        <v>100</v>
      </c>
    </row>
    <row r="634" spans="1:14" ht="140.4" outlineLevel="6">
      <c r="A634" s="2" t="s">
        <v>516</v>
      </c>
      <c r="B634" s="1" t="s">
        <v>489</v>
      </c>
      <c r="C634" s="1" t="s">
        <v>365</v>
      </c>
      <c r="D634" s="1" t="s">
        <v>20</v>
      </c>
      <c r="E634" s="1" t="s">
        <v>517</v>
      </c>
      <c r="F634" s="1" t="s">
        <v>16</v>
      </c>
      <c r="G634" s="1"/>
      <c r="H634" s="1"/>
      <c r="I634" s="1"/>
      <c r="J634" s="1"/>
      <c r="K634" s="1"/>
      <c r="L634" s="41">
        <f>L635</f>
        <v>322652.40000000002</v>
      </c>
      <c r="M634" s="41">
        <f>M635</f>
        <v>322652.40000000002</v>
      </c>
      <c r="N634" s="46">
        <f t="shared" si="39"/>
        <v>100</v>
      </c>
    </row>
    <row r="635" spans="1:14" ht="62.4" outlineLevel="7">
      <c r="A635" s="2" t="s">
        <v>90</v>
      </c>
      <c r="B635" s="1" t="s">
        <v>489</v>
      </c>
      <c r="C635" s="1" t="s">
        <v>365</v>
      </c>
      <c r="D635" s="1" t="s">
        <v>20</v>
      </c>
      <c r="E635" s="1" t="s">
        <v>517</v>
      </c>
      <c r="F635" s="1" t="s">
        <v>91</v>
      </c>
      <c r="G635" s="1"/>
      <c r="H635" s="1"/>
      <c r="I635" s="1"/>
      <c r="J635" s="1"/>
      <c r="K635" s="1"/>
      <c r="L635" s="41">
        <f>314168+8484.4</f>
        <v>322652.40000000002</v>
      </c>
      <c r="M635" s="41">
        <f>314168+8484.4</f>
        <v>322652.40000000002</v>
      </c>
      <c r="N635" s="46">
        <f t="shared" si="39"/>
        <v>100</v>
      </c>
    </row>
    <row r="636" spans="1:14" ht="124.8" outlineLevel="6">
      <c r="A636" s="2" t="s">
        <v>518</v>
      </c>
      <c r="B636" s="1" t="s">
        <v>489</v>
      </c>
      <c r="C636" s="1" t="s">
        <v>365</v>
      </c>
      <c r="D636" s="1" t="s">
        <v>20</v>
      </c>
      <c r="E636" s="1" t="s">
        <v>519</v>
      </c>
      <c r="F636" s="1" t="s">
        <v>16</v>
      </c>
      <c r="G636" s="1"/>
      <c r="H636" s="1"/>
      <c r="I636" s="1"/>
      <c r="J636" s="1"/>
      <c r="K636" s="1"/>
      <c r="L636" s="41">
        <f>L637</f>
        <v>11537</v>
      </c>
      <c r="M636" s="41">
        <f>M637</f>
        <v>11537</v>
      </c>
      <c r="N636" s="46">
        <f t="shared" si="39"/>
        <v>100</v>
      </c>
    </row>
    <row r="637" spans="1:14" ht="62.4" outlineLevel="7">
      <c r="A637" s="2" t="s">
        <v>90</v>
      </c>
      <c r="B637" s="1" t="s">
        <v>489</v>
      </c>
      <c r="C637" s="1" t="s">
        <v>365</v>
      </c>
      <c r="D637" s="1" t="s">
        <v>20</v>
      </c>
      <c r="E637" s="1" t="s">
        <v>519</v>
      </c>
      <c r="F637" s="1" t="s">
        <v>91</v>
      </c>
      <c r="G637" s="1"/>
      <c r="H637" s="1"/>
      <c r="I637" s="1"/>
      <c r="J637" s="1"/>
      <c r="K637" s="1"/>
      <c r="L637" s="41">
        <v>11537</v>
      </c>
      <c r="M637" s="41">
        <v>11537</v>
      </c>
      <c r="N637" s="46">
        <f t="shared" si="39"/>
        <v>100</v>
      </c>
    </row>
    <row r="638" spans="1:14" ht="62.4" outlineLevel="7">
      <c r="A638" s="2" t="s">
        <v>689</v>
      </c>
      <c r="B638" s="1" t="s">
        <v>489</v>
      </c>
      <c r="C638" s="1" t="s">
        <v>365</v>
      </c>
      <c r="D638" s="1" t="s">
        <v>20</v>
      </c>
      <c r="E638" s="1" t="s">
        <v>688</v>
      </c>
      <c r="F638" s="1" t="s">
        <v>16</v>
      </c>
      <c r="G638" s="1"/>
      <c r="H638" s="1"/>
      <c r="I638" s="1"/>
      <c r="J638" s="1"/>
      <c r="K638" s="1"/>
      <c r="L638" s="41">
        <f>L639</f>
        <v>1000</v>
      </c>
      <c r="M638" s="41">
        <f>M639</f>
        <v>1000</v>
      </c>
      <c r="N638" s="46">
        <f t="shared" si="39"/>
        <v>100</v>
      </c>
    </row>
    <row r="639" spans="1:14" ht="62.4" outlineLevel="7">
      <c r="A639" s="2" t="s">
        <v>90</v>
      </c>
      <c r="B639" s="1" t="s">
        <v>489</v>
      </c>
      <c r="C639" s="1" t="s">
        <v>365</v>
      </c>
      <c r="D639" s="1" t="s">
        <v>20</v>
      </c>
      <c r="E639" s="1" t="s">
        <v>688</v>
      </c>
      <c r="F639" s="1" t="s">
        <v>91</v>
      </c>
      <c r="G639" s="1"/>
      <c r="H639" s="1"/>
      <c r="I639" s="1"/>
      <c r="J639" s="1"/>
      <c r="K639" s="1"/>
      <c r="L639" s="41">
        <v>1000</v>
      </c>
      <c r="M639" s="41">
        <v>1000</v>
      </c>
      <c r="N639" s="46">
        <f t="shared" si="39"/>
        <v>100</v>
      </c>
    </row>
    <row r="640" spans="1:14" ht="62.4" outlineLevel="6">
      <c r="A640" s="2" t="s">
        <v>501</v>
      </c>
      <c r="B640" s="1" t="s">
        <v>489</v>
      </c>
      <c r="C640" s="1" t="s">
        <v>365</v>
      </c>
      <c r="D640" s="1" t="s">
        <v>20</v>
      </c>
      <c r="E640" s="1" t="s">
        <v>520</v>
      </c>
      <c r="F640" s="1" t="s">
        <v>16</v>
      </c>
      <c r="G640" s="1"/>
      <c r="H640" s="1"/>
      <c r="I640" s="1"/>
      <c r="J640" s="1"/>
      <c r="K640" s="1"/>
      <c r="L640" s="41">
        <f>L641</f>
        <v>875.31592000000001</v>
      </c>
      <c r="M640" s="41">
        <f>M641</f>
        <v>875.31592000000001</v>
      </c>
      <c r="N640" s="46">
        <f t="shared" si="39"/>
        <v>100</v>
      </c>
    </row>
    <row r="641" spans="1:14" ht="62.4" outlineLevel="7">
      <c r="A641" s="2" t="s">
        <v>90</v>
      </c>
      <c r="B641" s="1" t="s">
        <v>489</v>
      </c>
      <c r="C641" s="1" t="s">
        <v>365</v>
      </c>
      <c r="D641" s="1" t="s">
        <v>20</v>
      </c>
      <c r="E641" s="1" t="s">
        <v>520</v>
      </c>
      <c r="F641" s="1" t="s">
        <v>91</v>
      </c>
      <c r="G641" s="1"/>
      <c r="H641" s="1"/>
      <c r="I641" s="1"/>
      <c r="J641" s="1"/>
      <c r="K641" s="1"/>
      <c r="L641" s="41">
        <f>907+70.5-102.18408</f>
        <v>875.31592000000001</v>
      </c>
      <c r="M641" s="41">
        <f>907+70.5-102.18408</f>
        <v>875.31592000000001</v>
      </c>
      <c r="N641" s="46">
        <f t="shared" si="39"/>
        <v>100</v>
      </c>
    </row>
    <row r="642" spans="1:14" ht="78" outlineLevel="6">
      <c r="A642" s="2" t="s">
        <v>521</v>
      </c>
      <c r="B642" s="1" t="s">
        <v>489</v>
      </c>
      <c r="C642" s="1" t="s">
        <v>365</v>
      </c>
      <c r="D642" s="1" t="s">
        <v>20</v>
      </c>
      <c r="E642" s="1" t="s">
        <v>522</v>
      </c>
      <c r="F642" s="1" t="s">
        <v>16</v>
      </c>
      <c r="G642" s="1"/>
      <c r="H642" s="1"/>
      <c r="I642" s="1"/>
      <c r="J642" s="1"/>
      <c r="K642" s="1"/>
      <c r="L642" s="41">
        <f>L643</f>
        <v>1208.5</v>
      </c>
      <c r="M642" s="41">
        <f>M643</f>
        <v>1208.5</v>
      </c>
      <c r="N642" s="46">
        <f t="shared" si="39"/>
        <v>100</v>
      </c>
    </row>
    <row r="643" spans="1:14" ht="62.4" outlineLevel="7">
      <c r="A643" s="2" t="s">
        <v>90</v>
      </c>
      <c r="B643" s="1" t="s">
        <v>489</v>
      </c>
      <c r="C643" s="1" t="s">
        <v>365</v>
      </c>
      <c r="D643" s="1" t="s">
        <v>20</v>
      </c>
      <c r="E643" s="1" t="s">
        <v>522</v>
      </c>
      <c r="F643" s="1" t="s">
        <v>91</v>
      </c>
      <c r="G643" s="1"/>
      <c r="H643" s="1"/>
      <c r="I643" s="1"/>
      <c r="J643" s="1"/>
      <c r="K643" s="1"/>
      <c r="L643" s="41">
        <v>1208.5</v>
      </c>
      <c r="M643" s="41">
        <v>1208.5</v>
      </c>
      <c r="N643" s="46">
        <f t="shared" si="39"/>
        <v>100</v>
      </c>
    </row>
    <row r="644" spans="1:14" ht="31.2" outlineLevel="7">
      <c r="A644" s="2" t="s">
        <v>691</v>
      </c>
      <c r="B644" s="1" t="s">
        <v>489</v>
      </c>
      <c r="C644" s="1" t="s">
        <v>365</v>
      </c>
      <c r="D644" s="1" t="s">
        <v>20</v>
      </c>
      <c r="E644" s="1" t="s">
        <v>690</v>
      </c>
      <c r="F644" s="1" t="s">
        <v>16</v>
      </c>
      <c r="G644" s="1"/>
      <c r="H644" s="1"/>
      <c r="I644" s="1"/>
      <c r="J644" s="1"/>
      <c r="K644" s="1"/>
      <c r="L644" s="41">
        <f>L645</f>
        <v>50</v>
      </c>
      <c r="M644" s="41">
        <f>M645</f>
        <v>50</v>
      </c>
      <c r="N644" s="46">
        <f t="shared" si="39"/>
        <v>100</v>
      </c>
    </row>
    <row r="645" spans="1:14" ht="31.2" outlineLevel="7">
      <c r="A645" s="2" t="s">
        <v>77</v>
      </c>
      <c r="B645" s="1" t="s">
        <v>489</v>
      </c>
      <c r="C645" s="1" t="s">
        <v>365</v>
      </c>
      <c r="D645" s="1" t="s">
        <v>20</v>
      </c>
      <c r="E645" s="1" t="s">
        <v>690</v>
      </c>
      <c r="F645" s="1" t="s">
        <v>78</v>
      </c>
      <c r="G645" s="1"/>
      <c r="H645" s="1"/>
      <c r="I645" s="1"/>
      <c r="J645" s="1"/>
      <c r="K645" s="1"/>
      <c r="L645" s="41">
        <v>50</v>
      </c>
      <c r="M645" s="41">
        <v>50</v>
      </c>
      <c r="N645" s="46">
        <f t="shared" si="39"/>
        <v>100</v>
      </c>
    </row>
    <row r="646" spans="1:14" ht="31.2" outlineLevel="6">
      <c r="A646" s="2" t="s">
        <v>523</v>
      </c>
      <c r="B646" s="1" t="s">
        <v>489</v>
      </c>
      <c r="C646" s="1" t="s">
        <v>365</v>
      </c>
      <c r="D646" s="1" t="s">
        <v>20</v>
      </c>
      <c r="E646" s="1" t="s">
        <v>524</v>
      </c>
      <c r="F646" s="1" t="s">
        <v>16</v>
      </c>
      <c r="G646" s="1"/>
      <c r="H646" s="1"/>
      <c r="I646" s="1"/>
      <c r="J646" s="1"/>
      <c r="K646" s="1"/>
      <c r="L646" s="41">
        <f>L647</f>
        <v>3205.7</v>
      </c>
      <c r="M646" s="41">
        <f>M647</f>
        <v>3205.7</v>
      </c>
      <c r="N646" s="46">
        <f t="shared" si="39"/>
        <v>100</v>
      </c>
    </row>
    <row r="647" spans="1:14" ht="62.4" outlineLevel="7">
      <c r="A647" s="2" t="s">
        <v>90</v>
      </c>
      <c r="B647" s="1" t="s">
        <v>489</v>
      </c>
      <c r="C647" s="1" t="s">
        <v>365</v>
      </c>
      <c r="D647" s="1" t="s">
        <v>20</v>
      </c>
      <c r="E647" s="1" t="s">
        <v>524</v>
      </c>
      <c r="F647" s="1" t="s">
        <v>91</v>
      </c>
      <c r="G647" s="1"/>
      <c r="H647" s="1"/>
      <c r="I647" s="1"/>
      <c r="J647" s="1"/>
      <c r="K647" s="1"/>
      <c r="L647" s="41">
        <v>3205.7</v>
      </c>
      <c r="M647" s="41">
        <v>3205.7</v>
      </c>
      <c r="N647" s="46">
        <f t="shared" si="39"/>
        <v>100</v>
      </c>
    </row>
    <row r="648" spans="1:14" ht="46.8" outlineLevel="6">
      <c r="A648" s="2" t="s">
        <v>525</v>
      </c>
      <c r="B648" s="1" t="s">
        <v>489</v>
      </c>
      <c r="C648" s="1" t="s">
        <v>365</v>
      </c>
      <c r="D648" s="1" t="s">
        <v>20</v>
      </c>
      <c r="E648" s="1" t="s">
        <v>526</v>
      </c>
      <c r="F648" s="1" t="s">
        <v>16</v>
      </c>
      <c r="G648" s="1"/>
      <c r="H648" s="1"/>
      <c r="I648" s="1"/>
      <c r="J648" s="1"/>
      <c r="K648" s="1"/>
      <c r="L648" s="41">
        <f>L649</f>
        <v>83900</v>
      </c>
      <c r="M648" s="41">
        <f>M649</f>
        <v>83900</v>
      </c>
      <c r="N648" s="46">
        <f t="shared" si="39"/>
        <v>100</v>
      </c>
    </row>
    <row r="649" spans="1:14" ht="62.4" outlineLevel="7">
      <c r="A649" s="2" t="s">
        <v>90</v>
      </c>
      <c r="B649" s="1" t="s">
        <v>489</v>
      </c>
      <c r="C649" s="1" t="s">
        <v>365</v>
      </c>
      <c r="D649" s="1" t="s">
        <v>20</v>
      </c>
      <c r="E649" s="1" t="s">
        <v>526</v>
      </c>
      <c r="F649" s="1" t="s">
        <v>91</v>
      </c>
      <c r="G649" s="1"/>
      <c r="H649" s="1"/>
      <c r="I649" s="1"/>
      <c r="J649" s="1"/>
      <c r="K649" s="1"/>
      <c r="L649" s="41">
        <f>87500-3600</f>
        <v>83900</v>
      </c>
      <c r="M649" s="41">
        <f>87500-3600</f>
        <v>83900</v>
      </c>
      <c r="N649" s="46">
        <f t="shared" si="39"/>
        <v>100</v>
      </c>
    </row>
    <row r="650" spans="1:14" ht="46.8" outlineLevel="5">
      <c r="A650" s="2" t="s">
        <v>527</v>
      </c>
      <c r="B650" s="1" t="s">
        <v>489</v>
      </c>
      <c r="C650" s="1" t="s">
        <v>365</v>
      </c>
      <c r="D650" s="1" t="s">
        <v>20</v>
      </c>
      <c r="E650" s="1" t="s">
        <v>528</v>
      </c>
      <c r="F650" s="1" t="s">
        <v>16</v>
      </c>
      <c r="G650" s="1"/>
      <c r="H650" s="1"/>
      <c r="I650" s="1"/>
      <c r="J650" s="1"/>
      <c r="K650" s="1"/>
      <c r="L650" s="41">
        <f>L651+L653+L656</f>
        <v>34198.080000000002</v>
      </c>
      <c r="M650" s="41">
        <f>M651+M653+M656</f>
        <v>34198.080000000002</v>
      </c>
      <c r="N650" s="46">
        <f t="shared" si="39"/>
        <v>100</v>
      </c>
    </row>
    <row r="651" spans="1:14" ht="31.2" outlineLevel="6">
      <c r="A651" s="2" t="s">
        <v>529</v>
      </c>
      <c r="B651" s="1" t="s">
        <v>489</v>
      </c>
      <c r="C651" s="1" t="s">
        <v>365</v>
      </c>
      <c r="D651" s="1" t="s">
        <v>20</v>
      </c>
      <c r="E651" s="1" t="s">
        <v>530</v>
      </c>
      <c r="F651" s="1" t="s">
        <v>16</v>
      </c>
      <c r="G651" s="1"/>
      <c r="H651" s="1"/>
      <c r="I651" s="1"/>
      <c r="J651" s="1"/>
      <c r="K651" s="1"/>
      <c r="L651" s="41">
        <f>L652</f>
        <v>90</v>
      </c>
      <c r="M651" s="41">
        <f>M652</f>
        <v>90</v>
      </c>
      <c r="N651" s="46">
        <f t="shared" si="39"/>
        <v>100</v>
      </c>
    </row>
    <row r="652" spans="1:14" ht="31.2" outlineLevel="7">
      <c r="A652" s="2" t="s">
        <v>77</v>
      </c>
      <c r="B652" s="1" t="s">
        <v>489</v>
      </c>
      <c r="C652" s="1" t="s">
        <v>365</v>
      </c>
      <c r="D652" s="1" t="s">
        <v>20</v>
      </c>
      <c r="E652" s="1" t="s">
        <v>530</v>
      </c>
      <c r="F652" s="1" t="s">
        <v>78</v>
      </c>
      <c r="G652" s="1"/>
      <c r="H652" s="1"/>
      <c r="I652" s="1"/>
      <c r="J652" s="1"/>
      <c r="K652" s="1"/>
      <c r="L652" s="41">
        <v>90</v>
      </c>
      <c r="M652" s="41">
        <v>90</v>
      </c>
      <c r="N652" s="46">
        <f t="shared" si="39"/>
        <v>100</v>
      </c>
    </row>
    <row r="653" spans="1:14" ht="140.4" outlineLevel="6">
      <c r="A653" s="2" t="s">
        <v>447</v>
      </c>
      <c r="B653" s="1" t="s">
        <v>489</v>
      </c>
      <c r="C653" s="1" t="s">
        <v>365</v>
      </c>
      <c r="D653" s="1" t="s">
        <v>20</v>
      </c>
      <c r="E653" s="1" t="s">
        <v>531</v>
      </c>
      <c r="F653" s="1" t="s">
        <v>16</v>
      </c>
      <c r="G653" s="1"/>
      <c r="H653" s="1"/>
      <c r="I653" s="1"/>
      <c r="J653" s="1"/>
      <c r="K653" s="1"/>
      <c r="L653" s="41">
        <f>L654+L655</f>
        <v>1762.1</v>
      </c>
      <c r="M653" s="41">
        <f>M654+M655</f>
        <v>1762.1</v>
      </c>
      <c r="N653" s="46">
        <f t="shared" si="39"/>
        <v>100</v>
      </c>
    </row>
    <row r="654" spans="1:14" ht="109.2" outlineLevel="7">
      <c r="A654" s="2" t="s">
        <v>29</v>
      </c>
      <c r="B654" s="1" t="s">
        <v>489</v>
      </c>
      <c r="C654" s="1" t="s">
        <v>365</v>
      </c>
      <c r="D654" s="1" t="s">
        <v>20</v>
      </c>
      <c r="E654" s="1" t="s">
        <v>531</v>
      </c>
      <c r="F654" s="1" t="s">
        <v>30</v>
      </c>
      <c r="G654" s="1"/>
      <c r="H654" s="1"/>
      <c r="I654" s="1"/>
      <c r="J654" s="1"/>
      <c r="K654" s="1"/>
      <c r="L654" s="41">
        <v>929.6</v>
      </c>
      <c r="M654" s="41">
        <v>929.6</v>
      </c>
      <c r="N654" s="46">
        <f t="shared" si="39"/>
        <v>100</v>
      </c>
    </row>
    <row r="655" spans="1:14" ht="62.4" outlineLevel="7">
      <c r="A655" s="2" t="s">
        <v>90</v>
      </c>
      <c r="B655" s="1" t="s">
        <v>489</v>
      </c>
      <c r="C655" s="1" t="s">
        <v>365</v>
      </c>
      <c r="D655" s="1" t="s">
        <v>20</v>
      </c>
      <c r="E655" s="1" t="s">
        <v>531</v>
      </c>
      <c r="F655" s="1" t="s">
        <v>91</v>
      </c>
      <c r="G655" s="1"/>
      <c r="H655" s="1"/>
      <c r="I655" s="1"/>
      <c r="J655" s="1"/>
      <c r="K655" s="1"/>
      <c r="L655" s="41">
        <f>337.1+495.4</f>
        <v>832.5</v>
      </c>
      <c r="M655" s="41">
        <f>337.1+495.4</f>
        <v>832.5</v>
      </c>
      <c r="N655" s="46">
        <f t="shared" si="39"/>
        <v>100</v>
      </c>
    </row>
    <row r="656" spans="1:14" ht="46.8" outlineLevel="6">
      <c r="A656" s="2" t="s">
        <v>376</v>
      </c>
      <c r="B656" s="1" t="s">
        <v>489</v>
      </c>
      <c r="C656" s="1" t="s">
        <v>365</v>
      </c>
      <c r="D656" s="1" t="s">
        <v>20</v>
      </c>
      <c r="E656" s="1" t="s">
        <v>532</v>
      </c>
      <c r="F656" s="1" t="s">
        <v>16</v>
      </c>
      <c r="G656" s="1"/>
      <c r="H656" s="1"/>
      <c r="I656" s="1"/>
      <c r="J656" s="1"/>
      <c r="K656" s="1"/>
      <c r="L656" s="41">
        <f>L657+L658+L659+L660</f>
        <v>32345.98</v>
      </c>
      <c r="M656" s="41">
        <f>M657+M658+M659+M660</f>
        <v>32345.98</v>
      </c>
      <c r="N656" s="46">
        <f t="shared" si="39"/>
        <v>100</v>
      </c>
    </row>
    <row r="657" spans="1:14" ht="109.2" outlineLevel="7">
      <c r="A657" s="2" t="s">
        <v>29</v>
      </c>
      <c r="B657" s="1" t="s">
        <v>489</v>
      </c>
      <c r="C657" s="1" t="s">
        <v>365</v>
      </c>
      <c r="D657" s="1" t="s">
        <v>20</v>
      </c>
      <c r="E657" s="1" t="s">
        <v>532</v>
      </c>
      <c r="F657" s="1" t="s">
        <v>30</v>
      </c>
      <c r="G657" s="1"/>
      <c r="H657" s="1"/>
      <c r="I657" s="1"/>
      <c r="J657" s="1"/>
      <c r="K657" s="1"/>
      <c r="L657" s="41">
        <f>5914.7-347.1-929.6-671</f>
        <v>3966.9999999999991</v>
      </c>
      <c r="M657" s="41">
        <f>5914.7-347.1-929.6-671</f>
        <v>3966.9999999999991</v>
      </c>
      <c r="N657" s="46">
        <f t="shared" si="39"/>
        <v>100</v>
      </c>
    </row>
    <row r="658" spans="1:14" ht="46.8" outlineLevel="7">
      <c r="A658" s="2" t="s">
        <v>41</v>
      </c>
      <c r="B658" s="1" t="s">
        <v>489</v>
      </c>
      <c r="C658" s="1" t="s">
        <v>365</v>
      </c>
      <c r="D658" s="1" t="s">
        <v>20</v>
      </c>
      <c r="E658" s="1" t="s">
        <v>532</v>
      </c>
      <c r="F658" s="1" t="s">
        <v>42</v>
      </c>
      <c r="G658" s="1"/>
      <c r="H658" s="1"/>
      <c r="I658" s="1"/>
      <c r="J658" s="1"/>
      <c r="K658" s="1"/>
      <c r="L658" s="41">
        <f>815.4+347.1-2.6-170</f>
        <v>989.90000000000009</v>
      </c>
      <c r="M658" s="41">
        <f>815.4+347.1-2.6-170</f>
        <v>989.90000000000009</v>
      </c>
      <c r="N658" s="46">
        <f t="shared" si="39"/>
        <v>100</v>
      </c>
    </row>
    <row r="659" spans="1:14" ht="62.4" outlineLevel="7">
      <c r="A659" s="2" t="s">
        <v>90</v>
      </c>
      <c r="B659" s="1" t="s">
        <v>489</v>
      </c>
      <c r="C659" s="1" t="s">
        <v>365</v>
      </c>
      <c r="D659" s="1" t="s">
        <v>20</v>
      </c>
      <c r="E659" s="1" t="s">
        <v>532</v>
      </c>
      <c r="F659" s="1" t="s">
        <v>91</v>
      </c>
      <c r="G659" s="1"/>
      <c r="H659" s="1"/>
      <c r="I659" s="1"/>
      <c r="J659" s="1"/>
      <c r="K659" s="1"/>
      <c r="L659" s="41">
        <f>27207.3-140.52</f>
        <v>27066.78</v>
      </c>
      <c r="M659" s="41">
        <f>27207.3-140.52</f>
        <v>27066.78</v>
      </c>
      <c r="N659" s="46">
        <f t="shared" si="39"/>
        <v>100</v>
      </c>
    </row>
    <row r="660" spans="1:14" ht="15.6" outlineLevel="7">
      <c r="A660" s="2" t="s">
        <v>59</v>
      </c>
      <c r="B660" s="1" t="s">
        <v>489</v>
      </c>
      <c r="C660" s="1" t="s">
        <v>365</v>
      </c>
      <c r="D660" s="1" t="s">
        <v>20</v>
      </c>
      <c r="E660" s="1" t="s">
        <v>532</v>
      </c>
      <c r="F660" s="1" t="s">
        <v>60</v>
      </c>
      <c r="G660" s="1"/>
      <c r="H660" s="1"/>
      <c r="I660" s="1"/>
      <c r="J660" s="1"/>
      <c r="K660" s="1"/>
      <c r="L660" s="41">
        <f>319.7+2.6</f>
        <v>322.3</v>
      </c>
      <c r="M660" s="41">
        <f>319.7+2.6</f>
        <v>322.3</v>
      </c>
      <c r="N660" s="46">
        <f t="shared" si="39"/>
        <v>100</v>
      </c>
    </row>
    <row r="661" spans="1:14" ht="31.2" outlineLevel="2">
      <c r="A661" s="5" t="s">
        <v>451</v>
      </c>
      <c r="B661" s="6" t="s">
        <v>489</v>
      </c>
      <c r="C661" s="6" t="s">
        <v>365</v>
      </c>
      <c r="D661" s="6" t="s">
        <v>365</v>
      </c>
      <c r="E661" s="6"/>
      <c r="F661" s="6"/>
      <c r="G661" s="6"/>
      <c r="H661" s="6"/>
      <c r="I661" s="6"/>
      <c r="J661" s="6"/>
      <c r="K661" s="6"/>
      <c r="L661" s="40">
        <f t="shared" ref="L661:M663" si="40">L662</f>
        <v>17921.400000000001</v>
      </c>
      <c r="M661" s="40">
        <f t="shared" si="40"/>
        <v>17921.400000000001</v>
      </c>
      <c r="N661" s="47">
        <f t="shared" si="39"/>
        <v>100</v>
      </c>
    </row>
    <row r="662" spans="1:14" ht="46.8" outlineLevel="3">
      <c r="A662" s="2" t="s">
        <v>452</v>
      </c>
      <c r="B662" s="1" t="s">
        <v>489</v>
      </c>
      <c r="C662" s="1" t="s">
        <v>365</v>
      </c>
      <c r="D662" s="1" t="s">
        <v>365</v>
      </c>
      <c r="E662" s="1" t="s">
        <v>453</v>
      </c>
      <c r="F662" s="1" t="s">
        <v>16</v>
      </c>
      <c r="G662" s="1"/>
      <c r="H662" s="1"/>
      <c r="I662" s="1"/>
      <c r="J662" s="1"/>
      <c r="K662" s="1"/>
      <c r="L662" s="41">
        <f t="shared" si="40"/>
        <v>17921.400000000001</v>
      </c>
      <c r="M662" s="41">
        <f t="shared" si="40"/>
        <v>17921.400000000001</v>
      </c>
      <c r="N662" s="46">
        <f t="shared" si="39"/>
        <v>100</v>
      </c>
    </row>
    <row r="663" spans="1:14" ht="46.8" outlineLevel="4">
      <c r="A663" s="2" t="s">
        <v>454</v>
      </c>
      <c r="B663" s="1" t="s">
        <v>489</v>
      </c>
      <c r="C663" s="1" t="s">
        <v>365</v>
      </c>
      <c r="D663" s="1" t="s">
        <v>365</v>
      </c>
      <c r="E663" s="1" t="s">
        <v>455</v>
      </c>
      <c r="F663" s="1" t="s">
        <v>16</v>
      </c>
      <c r="G663" s="1"/>
      <c r="H663" s="1"/>
      <c r="I663" s="1"/>
      <c r="J663" s="1"/>
      <c r="K663" s="1"/>
      <c r="L663" s="41">
        <f t="shared" si="40"/>
        <v>17921.400000000001</v>
      </c>
      <c r="M663" s="41">
        <f t="shared" si="40"/>
        <v>17921.400000000001</v>
      </c>
      <c r="N663" s="46">
        <f t="shared" si="39"/>
        <v>100</v>
      </c>
    </row>
    <row r="664" spans="1:14" ht="31.2" outlineLevel="5">
      <c r="A664" s="2" t="s">
        <v>456</v>
      </c>
      <c r="B664" s="1" t="s">
        <v>489</v>
      </c>
      <c r="C664" s="1" t="s">
        <v>365</v>
      </c>
      <c r="D664" s="1" t="s">
        <v>365</v>
      </c>
      <c r="E664" s="1" t="s">
        <v>457</v>
      </c>
      <c r="F664" s="1" t="s">
        <v>16</v>
      </c>
      <c r="G664" s="1"/>
      <c r="H664" s="1"/>
      <c r="I664" s="1"/>
      <c r="J664" s="1"/>
      <c r="K664" s="1"/>
      <c r="L664" s="41">
        <f>L665+L667+L669+L671</f>
        <v>17921.400000000001</v>
      </c>
      <c r="M664" s="41">
        <f>M665+M667+M669+M671</f>
        <v>17921.400000000001</v>
      </c>
      <c r="N664" s="46">
        <f t="shared" si="39"/>
        <v>100</v>
      </c>
    </row>
    <row r="665" spans="1:14" ht="31.2" outlineLevel="6">
      <c r="A665" s="2" t="s">
        <v>533</v>
      </c>
      <c r="B665" s="1" t="s">
        <v>489</v>
      </c>
      <c r="C665" s="1" t="s">
        <v>365</v>
      </c>
      <c r="D665" s="1" t="s">
        <v>365</v>
      </c>
      <c r="E665" s="1" t="s">
        <v>534</v>
      </c>
      <c r="F665" s="1" t="s">
        <v>16</v>
      </c>
      <c r="G665" s="1"/>
      <c r="H665" s="1"/>
      <c r="I665" s="1"/>
      <c r="J665" s="1"/>
      <c r="K665" s="1"/>
      <c r="L665" s="41">
        <f>L666</f>
        <v>9775</v>
      </c>
      <c r="M665" s="41">
        <f>M666</f>
        <v>9775</v>
      </c>
      <c r="N665" s="46">
        <f t="shared" si="39"/>
        <v>100</v>
      </c>
    </row>
    <row r="666" spans="1:14" ht="62.4" outlineLevel="7">
      <c r="A666" s="2" t="s">
        <v>90</v>
      </c>
      <c r="B666" s="1" t="s">
        <v>489</v>
      </c>
      <c r="C666" s="1" t="s">
        <v>365</v>
      </c>
      <c r="D666" s="1" t="s">
        <v>365</v>
      </c>
      <c r="E666" s="1" t="s">
        <v>534</v>
      </c>
      <c r="F666" s="1" t="s">
        <v>91</v>
      </c>
      <c r="G666" s="1"/>
      <c r="H666" s="1"/>
      <c r="I666" s="1"/>
      <c r="J666" s="1"/>
      <c r="K666" s="1"/>
      <c r="L666" s="41">
        <v>9775</v>
      </c>
      <c r="M666" s="41">
        <v>9775</v>
      </c>
      <c r="N666" s="46">
        <f t="shared" si="39"/>
        <v>100</v>
      </c>
    </row>
    <row r="667" spans="1:14" ht="46.8" outlineLevel="6">
      <c r="A667" s="2" t="s">
        <v>458</v>
      </c>
      <c r="B667" s="1" t="s">
        <v>489</v>
      </c>
      <c r="C667" s="1" t="s">
        <v>365</v>
      </c>
      <c r="D667" s="1" t="s">
        <v>365</v>
      </c>
      <c r="E667" s="1" t="s">
        <v>459</v>
      </c>
      <c r="F667" s="1" t="s">
        <v>16</v>
      </c>
      <c r="G667" s="1"/>
      <c r="H667" s="1"/>
      <c r="I667" s="1"/>
      <c r="J667" s="1"/>
      <c r="K667" s="1"/>
      <c r="L667" s="41">
        <f>L668</f>
        <v>7690</v>
      </c>
      <c r="M667" s="41">
        <f>M668</f>
        <v>7690</v>
      </c>
      <c r="N667" s="46">
        <f t="shared" si="39"/>
        <v>100</v>
      </c>
    </row>
    <row r="668" spans="1:14" ht="62.4" outlineLevel="7">
      <c r="A668" s="2" t="s">
        <v>90</v>
      </c>
      <c r="B668" s="1" t="s">
        <v>489</v>
      </c>
      <c r="C668" s="1" t="s">
        <v>365</v>
      </c>
      <c r="D668" s="1" t="s">
        <v>365</v>
      </c>
      <c r="E668" s="1" t="s">
        <v>459</v>
      </c>
      <c r="F668" s="1" t="s">
        <v>91</v>
      </c>
      <c r="G668" s="1"/>
      <c r="H668" s="1"/>
      <c r="I668" s="1"/>
      <c r="J668" s="1"/>
      <c r="K668" s="1"/>
      <c r="L668" s="41">
        <v>7690</v>
      </c>
      <c r="M668" s="41">
        <v>7690</v>
      </c>
      <c r="N668" s="46">
        <f t="shared" si="39"/>
        <v>100</v>
      </c>
    </row>
    <row r="669" spans="1:14" ht="31.2" outlineLevel="6">
      <c r="A669" s="2" t="s">
        <v>535</v>
      </c>
      <c r="B669" s="1" t="s">
        <v>489</v>
      </c>
      <c r="C669" s="1" t="s">
        <v>365</v>
      </c>
      <c r="D669" s="1" t="s">
        <v>365</v>
      </c>
      <c r="E669" s="1" t="s">
        <v>536</v>
      </c>
      <c r="F669" s="1" t="s">
        <v>16</v>
      </c>
      <c r="G669" s="1"/>
      <c r="H669" s="1"/>
      <c r="I669" s="1"/>
      <c r="J669" s="1"/>
      <c r="K669" s="1"/>
      <c r="L669" s="41">
        <f>L670</f>
        <v>146.4</v>
      </c>
      <c r="M669" s="41">
        <f>M670</f>
        <v>146.4</v>
      </c>
      <c r="N669" s="46">
        <f t="shared" si="39"/>
        <v>100</v>
      </c>
    </row>
    <row r="670" spans="1:14" ht="62.4" outlineLevel="7">
      <c r="A670" s="2" t="s">
        <v>90</v>
      </c>
      <c r="B670" s="1" t="s">
        <v>489</v>
      </c>
      <c r="C670" s="1" t="s">
        <v>365</v>
      </c>
      <c r="D670" s="1" t="s">
        <v>365</v>
      </c>
      <c r="E670" s="1" t="s">
        <v>536</v>
      </c>
      <c r="F670" s="1" t="s">
        <v>91</v>
      </c>
      <c r="G670" s="1"/>
      <c r="H670" s="1"/>
      <c r="I670" s="1"/>
      <c r="J670" s="1"/>
      <c r="K670" s="1"/>
      <c r="L670" s="41">
        <f>200-53.6</f>
        <v>146.4</v>
      </c>
      <c r="M670" s="41">
        <f>200-53.6</f>
        <v>146.4</v>
      </c>
      <c r="N670" s="46">
        <f t="shared" si="39"/>
        <v>100</v>
      </c>
    </row>
    <row r="671" spans="1:14" ht="46.8" outlineLevel="6">
      <c r="A671" s="2" t="s">
        <v>537</v>
      </c>
      <c r="B671" s="1" t="s">
        <v>489</v>
      </c>
      <c r="C671" s="1" t="s">
        <v>365</v>
      </c>
      <c r="D671" s="1" t="s">
        <v>365</v>
      </c>
      <c r="E671" s="1" t="s">
        <v>538</v>
      </c>
      <c r="F671" s="1" t="s">
        <v>16</v>
      </c>
      <c r="G671" s="1"/>
      <c r="H671" s="1"/>
      <c r="I671" s="1"/>
      <c r="J671" s="1"/>
      <c r="K671" s="1"/>
      <c r="L671" s="41">
        <f>L672</f>
        <v>310</v>
      </c>
      <c r="M671" s="41">
        <f>M672</f>
        <v>310</v>
      </c>
      <c r="N671" s="46">
        <f t="shared" si="39"/>
        <v>100</v>
      </c>
    </row>
    <row r="672" spans="1:14" ht="62.4" outlineLevel="7">
      <c r="A672" s="2" t="s">
        <v>90</v>
      </c>
      <c r="B672" s="1" t="s">
        <v>489</v>
      </c>
      <c r="C672" s="1" t="s">
        <v>365</v>
      </c>
      <c r="D672" s="1" t="s">
        <v>365</v>
      </c>
      <c r="E672" s="1" t="s">
        <v>538</v>
      </c>
      <c r="F672" s="1" t="s">
        <v>91</v>
      </c>
      <c r="G672" s="1"/>
      <c r="H672" s="1"/>
      <c r="I672" s="1"/>
      <c r="J672" s="1"/>
      <c r="K672" s="1"/>
      <c r="L672" s="41">
        <v>310</v>
      </c>
      <c r="M672" s="41">
        <v>310</v>
      </c>
      <c r="N672" s="46">
        <f t="shared" si="39"/>
        <v>100</v>
      </c>
    </row>
    <row r="673" spans="1:14" ht="15.6" outlineLevel="2">
      <c r="A673" s="5" t="s">
        <v>460</v>
      </c>
      <c r="B673" s="6" t="s">
        <v>489</v>
      </c>
      <c r="C673" s="6" t="s">
        <v>365</v>
      </c>
      <c r="D673" s="6" t="s">
        <v>171</v>
      </c>
      <c r="E673" s="6"/>
      <c r="F673" s="6"/>
      <c r="G673" s="6"/>
      <c r="H673" s="6"/>
      <c r="I673" s="6"/>
      <c r="J673" s="6"/>
      <c r="K673" s="6"/>
      <c r="L673" s="40">
        <f t="shared" ref="L673:M675" si="41">L674</f>
        <v>38028.32</v>
      </c>
      <c r="M673" s="40">
        <f t="shared" si="41"/>
        <v>37963.655870000002</v>
      </c>
      <c r="N673" s="47">
        <f t="shared" si="39"/>
        <v>99.829957962907642</v>
      </c>
    </row>
    <row r="674" spans="1:14" ht="46.8" outlineLevel="3">
      <c r="A674" s="2" t="s">
        <v>452</v>
      </c>
      <c r="B674" s="1" t="s">
        <v>489</v>
      </c>
      <c r="C674" s="1" t="s">
        <v>365</v>
      </c>
      <c r="D674" s="1" t="s">
        <v>171</v>
      </c>
      <c r="E674" s="1" t="s">
        <v>453</v>
      </c>
      <c r="F674" s="1" t="s">
        <v>16</v>
      </c>
      <c r="G674" s="1"/>
      <c r="H674" s="1"/>
      <c r="I674" s="1"/>
      <c r="J674" s="1"/>
      <c r="K674" s="1"/>
      <c r="L674" s="41">
        <f t="shared" si="41"/>
        <v>38028.32</v>
      </c>
      <c r="M674" s="41">
        <f t="shared" si="41"/>
        <v>37963.655870000002</v>
      </c>
      <c r="N674" s="46">
        <f t="shared" si="39"/>
        <v>99.829957962907642</v>
      </c>
    </row>
    <row r="675" spans="1:14" ht="46.8" outlineLevel="4">
      <c r="A675" s="2" t="s">
        <v>539</v>
      </c>
      <c r="B675" s="1" t="s">
        <v>489</v>
      </c>
      <c r="C675" s="1" t="s">
        <v>365</v>
      </c>
      <c r="D675" s="1" t="s">
        <v>171</v>
      </c>
      <c r="E675" s="1" t="s">
        <v>540</v>
      </c>
      <c r="F675" s="1" t="s">
        <v>16</v>
      </c>
      <c r="G675" s="1"/>
      <c r="H675" s="1"/>
      <c r="I675" s="1"/>
      <c r="J675" s="1"/>
      <c r="K675" s="1"/>
      <c r="L675" s="41">
        <f t="shared" si="41"/>
        <v>38028.32</v>
      </c>
      <c r="M675" s="41">
        <f t="shared" si="41"/>
        <v>37963.655870000002</v>
      </c>
      <c r="N675" s="46">
        <f t="shared" si="39"/>
        <v>99.829957962907642</v>
      </c>
    </row>
    <row r="676" spans="1:14" ht="46.8" outlineLevel="5">
      <c r="A676" s="2" t="s">
        <v>69</v>
      </c>
      <c r="B676" s="1" t="s">
        <v>489</v>
      </c>
      <c r="C676" s="1" t="s">
        <v>365</v>
      </c>
      <c r="D676" s="1" t="s">
        <v>171</v>
      </c>
      <c r="E676" s="1" t="s">
        <v>541</v>
      </c>
      <c r="F676" s="1" t="s">
        <v>16</v>
      </c>
      <c r="G676" s="1"/>
      <c r="H676" s="1"/>
      <c r="I676" s="1"/>
      <c r="J676" s="1"/>
      <c r="K676" s="1"/>
      <c r="L676" s="41">
        <f>L677+L679+L682+L684+L688</f>
        <v>38028.32</v>
      </c>
      <c r="M676" s="41">
        <f>M677+M679+M682+M684+M688</f>
        <v>37963.655870000002</v>
      </c>
      <c r="N676" s="46">
        <f t="shared" si="39"/>
        <v>99.829957962907642</v>
      </c>
    </row>
    <row r="677" spans="1:14" ht="31.2" outlineLevel="6">
      <c r="A677" s="2" t="s">
        <v>33</v>
      </c>
      <c r="B677" s="1" t="s">
        <v>489</v>
      </c>
      <c r="C677" s="1" t="s">
        <v>365</v>
      </c>
      <c r="D677" s="1" t="s">
        <v>171</v>
      </c>
      <c r="E677" s="1" t="s">
        <v>542</v>
      </c>
      <c r="F677" s="1" t="s">
        <v>16</v>
      </c>
      <c r="G677" s="1"/>
      <c r="H677" s="1"/>
      <c r="I677" s="1"/>
      <c r="J677" s="1"/>
      <c r="K677" s="1"/>
      <c r="L677" s="41">
        <f>L678</f>
        <v>6900</v>
      </c>
      <c r="M677" s="41">
        <f>M678</f>
        <v>6885.9375099999997</v>
      </c>
      <c r="N677" s="46">
        <f t="shared" si="39"/>
        <v>99.796195797101447</v>
      </c>
    </row>
    <row r="678" spans="1:14" ht="109.2" outlineLevel="7">
      <c r="A678" s="2" t="s">
        <v>29</v>
      </c>
      <c r="B678" s="1" t="s">
        <v>489</v>
      </c>
      <c r="C678" s="1" t="s">
        <v>365</v>
      </c>
      <c r="D678" s="1" t="s">
        <v>171</v>
      </c>
      <c r="E678" s="1" t="s">
        <v>542</v>
      </c>
      <c r="F678" s="1" t="s">
        <v>30</v>
      </c>
      <c r="G678" s="1"/>
      <c r="H678" s="1"/>
      <c r="I678" s="1"/>
      <c r="J678" s="1"/>
      <c r="K678" s="1"/>
      <c r="L678" s="41">
        <v>6900</v>
      </c>
      <c r="M678" s="44">
        <v>6885.9375099999997</v>
      </c>
      <c r="N678" s="46">
        <f t="shared" si="39"/>
        <v>99.796195797101447</v>
      </c>
    </row>
    <row r="679" spans="1:14" ht="31.2" outlineLevel="6">
      <c r="A679" s="2" t="s">
        <v>35</v>
      </c>
      <c r="B679" s="1" t="s">
        <v>489</v>
      </c>
      <c r="C679" s="1" t="s">
        <v>365</v>
      </c>
      <c r="D679" s="1" t="s">
        <v>171</v>
      </c>
      <c r="E679" s="1" t="s">
        <v>543</v>
      </c>
      <c r="F679" s="1" t="s">
        <v>16</v>
      </c>
      <c r="G679" s="1"/>
      <c r="H679" s="1"/>
      <c r="I679" s="1"/>
      <c r="J679" s="1"/>
      <c r="K679" s="1"/>
      <c r="L679" s="41">
        <f>L680+L681</f>
        <v>1149.5</v>
      </c>
      <c r="M679" s="41">
        <f>M680+M681</f>
        <v>1098.8983599999999</v>
      </c>
      <c r="N679" s="46">
        <f t="shared" si="39"/>
        <v>95.597943453675498</v>
      </c>
    </row>
    <row r="680" spans="1:14" ht="46.8" outlineLevel="7">
      <c r="A680" s="2" t="s">
        <v>41</v>
      </c>
      <c r="B680" s="1" t="s">
        <v>489</v>
      </c>
      <c r="C680" s="1" t="s">
        <v>365</v>
      </c>
      <c r="D680" s="1" t="s">
        <v>171</v>
      </c>
      <c r="E680" s="1" t="s">
        <v>543</v>
      </c>
      <c r="F680" s="1" t="s">
        <v>42</v>
      </c>
      <c r="G680" s="1"/>
      <c r="H680" s="1"/>
      <c r="I680" s="1"/>
      <c r="J680" s="1"/>
      <c r="K680" s="1"/>
      <c r="L680" s="41">
        <f>635.5+101.4+4.20384+331</f>
        <v>1072.10384</v>
      </c>
      <c r="M680" s="44">
        <v>1021.5022</v>
      </c>
      <c r="N680" s="46">
        <f t="shared" si="39"/>
        <v>95.280154952154632</v>
      </c>
    </row>
    <row r="681" spans="1:14" ht="15.6" outlineLevel="7">
      <c r="A681" s="2" t="s">
        <v>59</v>
      </c>
      <c r="B681" s="1" t="s">
        <v>489</v>
      </c>
      <c r="C681" s="1" t="s">
        <v>365</v>
      </c>
      <c r="D681" s="1" t="s">
        <v>171</v>
      </c>
      <c r="E681" s="1" t="s">
        <v>543</v>
      </c>
      <c r="F681" s="1" t="s">
        <v>60</v>
      </c>
      <c r="G681" s="1"/>
      <c r="H681" s="1"/>
      <c r="I681" s="1"/>
      <c r="J681" s="1"/>
      <c r="K681" s="1"/>
      <c r="L681" s="41">
        <f>81.6-4.20384</f>
        <v>77.396159999999995</v>
      </c>
      <c r="M681" s="41">
        <f>81.6-4.20384</f>
        <v>77.396159999999995</v>
      </c>
      <c r="N681" s="46">
        <f t="shared" si="39"/>
        <v>100</v>
      </c>
    </row>
    <row r="682" spans="1:14" ht="62.4" outlineLevel="6">
      <c r="A682" s="2" t="s">
        <v>544</v>
      </c>
      <c r="B682" s="1" t="s">
        <v>489</v>
      </c>
      <c r="C682" s="1" t="s">
        <v>365</v>
      </c>
      <c r="D682" s="1" t="s">
        <v>171</v>
      </c>
      <c r="E682" s="1" t="s">
        <v>545</v>
      </c>
      <c r="F682" s="1" t="s">
        <v>16</v>
      </c>
      <c r="G682" s="1"/>
      <c r="H682" s="1"/>
      <c r="I682" s="1"/>
      <c r="J682" s="1"/>
      <c r="K682" s="1"/>
      <c r="L682" s="41">
        <f>L683</f>
        <v>7691.8200000000006</v>
      </c>
      <c r="M682" s="41">
        <f>M683</f>
        <v>7691.8200000000006</v>
      </c>
      <c r="N682" s="46">
        <f t="shared" si="39"/>
        <v>100</v>
      </c>
    </row>
    <row r="683" spans="1:14" ht="62.4" outlineLevel="7">
      <c r="A683" s="2" t="s">
        <v>90</v>
      </c>
      <c r="B683" s="1" t="s">
        <v>489</v>
      </c>
      <c r="C683" s="1" t="s">
        <v>365</v>
      </c>
      <c r="D683" s="1" t="s">
        <v>171</v>
      </c>
      <c r="E683" s="1" t="s">
        <v>545</v>
      </c>
      <c r="F683" s="1" t="s">
        <v>91</v>
      </c>
      <c r="G683" s="1"/>
      <c r="H683" s="1"/>
      <c r="I683" s="1"/>
      <c r="J683" s="1"/>
      <c r="K683" s="1"/>
      <c r="L683" s="41">
        <f>7119.3+432+140.52</f>
        <v>7691.8200000000006</v>
      </c>
      <c r="M683" s="41">
        <f>7119.3+432+140.52</f>
        <v>7691.8200000000006</v>
      </c>
      <c r="N683" s="46">
        <f t="shared" si="39"/>
        <v>100</v>
      </c>
    </row>
    <row r="684" spans="1:14" ht="31.2" outlineLevel="6">
      <c r="A684" s="2" t="s">
        <v>61</v>
      </c>
      <c r="B684" s="1" t="s">
        <v>489</v>
      </c>
      <c r="C684" s="1" t="s">
        <v>365</v>
      </c>
      <c r="D684" s="1" t="s">
        <v>171</v>
      </c>
      <c r="E684" s="1" t="s">
        <v>546</v>
      </c>
      <c r="F684" s="1" t="s">
        <v>16</v>
      </c>
      <c r="G684" s="1"/>
      <c r="H684" s="1"/>
      <c r="I684" s="1"/>
      <c r="J684" s="1"/>
      <c r="K684" s="1"/>
      <c r="L684" s="41">
        <f>L685+L686+L687</f>
        <v>18320.5</v>
      </c>
      <c r="M684" s="41">
        <f>M685+M686+M687</f>
        <v>18320.5</v>
      </c>
      <c r="N684" s="46">
        <f t="shared" si="39"/>
        <v>100</v>
      </c>
    </row>
    <row r="685" spans="1:14" ht="109.2" outlineLevel="7">
      <c r="A685" s="2" t="s">
        <v>29</v>
      </c>
      <c r="B685" s="1" t="s">
        <v>489</v>
      </c>
      <c r="C685" s="1" t="s">
        <v>365</v>
      </c>
      <c r="D685" s="1" t="s">
        <v>171</v>
      </c>
      <c r="E685" s="1" t="s">
        <v>546</v>
      </c>
      <c r="F685" s="1" t="s">
        <v>30</v>
      </c>
      <c r="G685" s="1"/>
      <c r="H685" s="1"/>
      <c r="I685" s="1"/>
      <c r="J685" s="1"/>
      <c r="K685" s="1"/>
      <c r="L685" s="41">
        <f>15826+185</f>
        <v>16011</v>
      </c>
      <c r="M685" s="41">
        <f>15826+185</f>
        <v>16011</v>
      </c>
      <c r="N685" s="46">
        <f t="shared" si="39"/>
        <v>100</v>
      </c>
    </row>
    <row r="686" spans="1:14" ht="46.8" outlineLevel="7">
      <c r="A686" s="2" t="s">
        <v>41</v>
      </c>
      <c r="B686" s="1" t="s">
        <v>489</v>
      </c>
      <c r="C686" s="1" t="s">
        <v>365</v>
      </c>
      <c r="D686" s="1" t="s">
        <v>171</v>
      </c>
      <c r="E686" s="1" t="s">
        <v>546</v>
      </c>
      <c r="F686" s="1" t="s">
        <v>42</v>
      </c>
      <c r="G686" s="1"/>
      <c r="H686" s="1"/>
      <c r="I686" s="1"/>
      <c r="J686" s="1"/>
      <c r="K686" s="1"/>
      <c r="L686" s="41">
        <f>2526.9-101.4-127.4</f>
        <v>2298.1</v>
      </c>
      <c r="M686" s="41">
        <f>2526.9-101.4-127.4</f>
        <v>2298.1</v>
      </c>
      <c r="N686" s="46">
        <f t="shared" si="39"/>
        <v>100</v>
      </c>
    </row>
    <row r="687" spans="1:14" ht="15.6" outlineLevel="7">
      <c r="A687" s="2" t="s">
        <v>59</v>
      </c>
      <c r="B687" s="1" t="s">
        <v>489</v>
      </c>
      <c r="C687" s="1" t="s">
        <v>365</v>
      </c>
      <c r="D687" s="1" t="s">
        <v>171</v>
      </c>
      <c r="E687" s="1" t="s">
        <v>546</v>
      </c>
      <c r="F687" s="1" t="s">
        <v>60</v>
      </c>
      <c r="G687" s="1"/>
      <c r="H687" s="1"/>
      <c r="I687" s="1"/>
      <c r="J687" s="1"/>
      <c r="K687" s="1"/>
      <c r="L687" s="41">
        <f>69-57.6</f>
        <v>11.399999999999999</v>
      </c>
      <c r="M687" s="41">
        <f>69-57.6</f>
        <v>11.399999999999999</v>
      </c>
      <c r="N687" s="46">
        <f t="shared" si="39"/>
        <v>100</v>
      </c>
    </row>
    <row r="688" spans="1:14" ht="46.8" outlineLevel="6">
      <c r="A688" s="2" t="s">
        <v>547</v>
      </c>
      <c r="B688" s="1" t="s">
        <v>489</v>
      </c>
      <c r="C688" s="1" t="s">
        <v>365</v>
      </c>
      <c r="D688" s="1" t="s">
        <v>171</v>
      </c>
      <c r="E688" s="1" t="s">
        <v>548</v>
      </c>
      <c r="F688" s="1" t="s">
        <v>16</v>
      </c>
      <c r="G688" s="1"/>
      <c r="H688" s="1"/>
      <c r="I688" s="1"/>
      <c r="J688" s="1"/>
      <c r="K688" s="1"/>
      <c r="L688" s="41">
        <f>L689+L690+L691</f>
        <v>3966.5000000000005</v>
      </c>
      <c r="M688" s="41">
        <f>M689+M690+M691</f>
        <v>3966.5</v>
      </c>
      <c r="N688" s="46">
        <f t="shared" si="39"/>
        <v>99.999999999999986</v>
      </c>
    </row>
    <row r="689" spans="1:14" ht="109.2" outlineLevel="7">
      <c r="A689" s="2" t="s">
        <v>29</v>
      </c>
      <c r="B689" s="1" t="s">
        <v>489</v>
      </c>
      <c r="C689" s="1" t="s">
        <v>365</v>
      </c>
      <c r="D689" s="1" t="s">
        <v>171</v>
      </c>
      <c r="E689" s="1" t="s">
        <v>548</v>
      </c>
      <c r="F689" s="1" t="s">
        <v>30</v>
      </c>
      <c r="G689" s="1"/>
      <c r="H689" s="1"/>
      <c r="I689" s="1"/>
      <c r="J689" s="1"/>
      <c r="K689" s="1"/>
      <c r="L689" s="41">
        <f>3487-370.4-369.5-21.4727</f>
        <v>2725.6273000000001</v>
      </c>
      <c r="M689" s="41">
        <f>3487-370.4-369.5-21.4727</f>
        <v>2725.6273000000001</v>
      </c>
      <c r="N689" s="46">
        <f t="shared" si="39"/>
        <v>100</v>
      </c>
    </row>
    <row r="690" spans="1:14" ht="46.8" outlineLevel="7">
      <c r="A690" s="2" t="s">
        <v>41</v>
      </c>
      <c r="B690" s="1" t="s">
        <v>489</v>
      </c>
      <c r="C690" s="1" t="s">
        <v>365</v>
      </c>
      <c r="D690" s="1" t="s">
        <v>171</v>
      </c>
      <c r="E690" s="1" t="s">
        <v>548</v>
      </c>
      <c r="F690" s="1" t="s">
        <v>42</v>
      </c>
      <c r="G690" s="1"/>
      <c r="H690" s="1"/>
      <c r="I690" s="1"/>
      <c r="J690" s="1"/>
      <c r="K690" s="1"/>
      <c r="L690" s="41">
        <f>841+370.4+7.89+21.4727</f>
        <v>1240.7627000000002</v>
      </c>
      <c r="M690" s="41">
        <v>1240.7607</v>
      </c>
      <c r="N690" s="46">
        <f t="shared" si="39"/>
        <v>99.999838808822986</v>
      </c>
    </row>
    <row r="691" spans="1:14" ht="15.6" outlineLevel="7">
      <c r="A691" s="2" t="s">
        <v>59</v>
      </c>
      <c r="B691" s="1" t="s">
        <v>489</v>
      </c>
      <c r="C691" s="1" t="s">
        <v>365</v>
      </c>
      <c r="D691" s="1" t="s">
        <v>171</v>
      </c>
      <c r="E691" s="1" t="s">
        <v>548</v>
      </c>
      <c r="F691" s="1" t="s">
        <v>60</v>
      </c>
      <c r="G691" s="1"/>
      <c r="H691" s="1"/>
      <c r="I691" s="1"/>
      <c r="J691" s="1"/>
      <c r="K691" s="1"/>
      <c r="L691" s="41">
        <f>8-7.89</f>
        <v>0.11000000000000032</v>
      </c>
      <c r="M691" s="41">
        <v>0.112</v>
      </c>
      <c r="N691" s="46">
        <f t="shared" ref="N691:N754" si="42">M691/L691*100</f>
        <v>101.81818181818151</v>
      </c>
    </row>
    <row r="692" spans="1:14" ht="15.6" outlineLevel="1">
      <c r="A692" s="3" t="s">
        <v>114</v>
      </c>
      <c r="B692" s="4" t="s">
        <v>489</v>
      </c>
      <c r="C692" s="4" t="s">
        <v>115</v>
      </c>
      <c r="D692" s="4"/>
      <c r="E692" s="4"/>
      <c r="F692" s="4"/>
      <c r="G692" s="4"/>
      <c r="H692" s="4"/>
      <c r="I692" s="4"/>
      <c r="J692" s="4"/>
      <c r="K692" s="4"/>
      <c r="L692" s="39">
        <f>L693+L705</f>
        <v>92458.708869999988</v>
      </c>
      <c r="M692" s="39">
        <f>M693+M705</f>
        <v>92458.708869999988</v>
      </c>
      <c r="N692" s="49">
        <f t="shared" si="42"/>
        <v>100</v>
      </c>
    </row>
    <row r="693" spans="1:14" ht="15.6" outlineLevel="2">
      <c r="A693" s="5" t="s">
        <v>121</v>
      </c>
      <c r="B693" s="6" t="s">
        <v>489</v>
      </c>
      <c r="C693" s="6" t="s">
        <v>115</v>
      </c>
      <c r="D693" s="6" t="s">
        <v>93</v>
      </c>
      <c r="E693" s="6"/>
      <c r="F693" s="6"/>
      <c r="G693" s="6"/>
      <c r="H693" s="6"/>
      <c r="I693" s="6"/>
      <c r="J693" s="6"/>
      <c r="K693" s="6"/>
      <c r="L693" s="40">
        <f>L694</f>
        <v>4203.4088700000002</v>
      </c>
      <c r="M693" s="40">
        <f>M694</f>
        <v>4203.4088700000002</v>
      </c>
      <c r="N693" s="47">
        <f t="shared" si="42"/>
        <v>100</v>
      </c>
    </row>
    <row r="694" spans="1:14" ht="46.8" outlineLevel="3">
      <c r="A694" s="2" t="s">
        <v>452</v>
      </c>
      <c r="B694" s="1" t="s">
        <v>489</v>
      </c>
      <c r="C694" s="1" t="s">
        <v>115</v>
      </c>
      <c r="D694" s="1" t="s">
        <v>93</v>
      </c>
      <c r="E694" s="1" t="s">
        <v>453</v>
      </c>
      <c r="F694" s="1" t="s">
        <v>16</v>
      </c>
      <c r="G694" s="1"/>
      <c r="H694" s="1"/>
      <c r="I694" s="1"/>
      <c r="J694" s="1"/>
      <c r="K694" s="1"/>
      <c r="L694" s="41">
        <f>L695+L700</f>
        <v>4203.4088700000002</v>
      </c>
      <c r="M694" s="41">
        <f>M695+M700</f>
        <v>4203.4088700000002</v>
      </c>
      <c r="N694" s="46">
        <f t="shared" si="42"/>
        <v>100</v>
      </c>
    </row>
    <row r="695" spans="1:14" ht="46.8" outlineLevel="4">
      <c r="A695" s="2" t="s">
        <v>454</v>
      </c>
      <c r="B695" s="1" t="s">
        <v>489</v>
      </c>
      <c r="C695" s="1" t="s">
        <v>115</v>
      </c>
      <c r="D695" s="1" t="s">
        <v>93</v>
      </c>
      <c r="E695" s="1" t="s">
        <v>455</v>
      </c>
      <c r="F695" s="1" t="s">
        <v>16</v>
      </c>
      <c r="G695" s="1"/>
      <c r="H695" s="1"/>
      <c r="I695" s="1"/>
      <c r="J695" s="1"/>
      <c r="K695" s="1"/>
      <c r="L695" s="41">
        <f>L696</f>
        <v>1169.1000000000001</v>
      </c>
      <c r="M695" s="41">
        <f>M696</f>
        <v>1169.1000000000001</v>
      </c>
      <c r="N695" s="46">
        <f t="shared" si="42"/>
        <v>100</v>
      </c>
    </row>
    <row r="696" spans="1:14" ht="62.4" outlineLevel="5">
      <c r="A696" s="2" t="s">
        <v>491</v>
      </c>
      <c r="B696" s="1" t="s">
        <v>489</v>
      </c>
      <c r="C696" s="1" t="s">
        <v>115</v>
      </c>
      <c r="D696" s="1" t="s">
        <v>93</v>
      </c>
      <c r="E696" s="1" t="s">
        <v>492</v>
      </c>
      <c r="F696" s="1" t="s">
        <v>16</v>
      </c>
      <c r="G696" s="1"/>
      <c r="H696" s="1"/>
      <c r="I696" s="1"/>
      <c r="J696" s="1"/>
      <c r="K696" s="1"/>
      <c r="L696" s="41">
        <f>L697</f>
        <v>1169.1000000000001</v>
      </c>
      <c r="M696" s="41">
        <f>M697</f>
        <v>1169.1000000000001</v>
      </c>
      <c r="N696" s="46">
        <f t="shared" si="42"/>
        <v>100</v>
      </c>
    </row>
    <row r="697" spans="1:14" ht="31.2" outlineLevel="6">
      <c r="A697" s="2" t="s">
        <v>549</v>
      </c>
      <c r="B697" s="1" t="s">
        <v>489</v>
      </c>
      <c r="C697" s="1" t="s">
        <v>115</v>
      </c>
      <c r="D697" s="1" t="s">
        <v>93</v>
      </c>
      <c r="E697" s="1" t="s">
        <v>550</v>
      </c>
      <c r="F697" s="1" t="s">
        <v>16</v>
      </c>
      <c r="G697" s="1"/>
      <c r="H697" s="1"/>
      <c r="I697" s="1"/>
      <c r="J697" s="1"/>
      <c r="K697" s="1"/>
      <c r="L697" s="41">
        <f>L698+L699</f>
        <v>1169.1000000000001</v>
      </c>
      <c r="M697" s="41">
        <f>M698+M699</f>
        <v>1169.1000000000001</v>
      </c>
      <c r="N697" s="46">
        <f t="shared" si="42"/>
        <v>100</v>
      </c>
    </row>
    <row r="698" spans="1:14" ht="46.8" outlineLevel="7">
      <c r="A698" s="2" t="s">
        <v>41</v>
      </c>
      <c r="B698" s="1" t="s">
        <v>489</v>
      </c>
      <c r="C698" s="1" t="s">
        <v>115</v>
      </c>
      <c r="D698" s="1" t="s">
        <v>93</v>
      </c>
      <c r="E698" s="1" t="s">
        <v>550</v>
      </c>
      <c r="F698" s="1" t="s">
        <v>42</v>
      </c>
      <c r="G698" s="1"/>
      <c r="H698" s="1"/>
      <c r="I698" s="1"/>
      <c r="J698" s="1"/>
      <c r="K698" s="1"/>
      <c r="L698" s="41">
        <f>12.7-1.118</f>
        <v>11.581999999999999</v>
      </c>
      <c r="M698" s="41">
        <f>12.7-1.118</f>
        <v>11.581999999999999</v>
      </c>
      <c r="N698" s="46">
        <f t="shared" si="42"/>
        <v>100</v>
      </c>
    </row>
    <row r="699" spans="1:14" ht="31.2" outlineLevel="7">
      <c r="A699" s="2" t="s">
        <v>77</v>
      </c>
      <c r="B699" s="1" t="s">
        <v>489</v>
      </c>
      <c r="C699" s="1" t="s">
        <v>115</v>
      </c>
      <c r="D699" s="1" t="s">
        <v>93</v>
      </c>
      <c r="E699" s="1" t="s">
        <v>550</v>
      </c>
      <c r="F699" s="1" t="s">
        <v>78</v>
      </c>
      <c r="G699" s="1"/>
      <c r="H699" s="1"/>
      <c r="I699" s="1"/>
      <c r="J699" s="1"/>
      <c r="K699" s="1"/>
      <c r="L699" s="41">
        <f>1269.3-111.782</f>
        <v>1157.518</v>
      </c>
      <c r="M699" s="41">
        <f>1269.3-111.782</f>
        <v>1157.518</v>
      </c>
      <c r="N699" s="46">
        <f t="shared" si="42"/>
        <v>100</v>
      </c>
    </row>
    <row r="700" spans="1:14" ht="46.8" outlineLevel="4">
      <c r="A700" s="2" t="s">
        <v>539</v>
      </c>
      <c r="B700" s="1" t="s">
        <v>489</v>
      </c>
      <c r="C700" s="1" t="s">
        <v>115</v>
      </c>
      <c r="D700" s="1" t="s">
        <v>93</v>
      </c>
      <c r="E700" s="1" t="s">
        <v>540</v>
      </c>
      <c r="F700" s="1" t="s">
        <v>16</v>
      </c>
      <c r="G700" s="1"/>
      <c r="H700" s="1"/>
      <c r="I700" s="1"/>
      <c r="J700" s="1"/>
      <c r="K700" s="1"/>
      <c r="L700" s="41">
        <f>L701</f>
        <v>3034.3088699999998</v>
      </c>
      <c r="M700" s="41">
        <f>M701</f>
        <v>3034.3088699999998</v>
      </c>
      <c r="N700" s="46">
        <f t="shared" si="42"/>
        <v>100</v>
      </c>
    </row>
    <row r="701" spans="1:14" ht="46.8" outlineLevel="5">
      <c r="A701" s="2" t="s">
        <v>69</v>
      </c>
      <c r="B701" s="1" t="s">
        <v>489</v>
      </c>
      <c r="C701" s="1" t="s">
        <v>115</v>
      </c>
      <c r="D701" s="1" t="s">
        <v>93</v>
      </c>
      <c r="E701" s="1" t="s">
        <v>541</v>
      </c>
      <c r="F701" s="1" t="s">
        <v>16</v>
      </c>
      <c r="G701" s="1"/>
      <c r="H701" s="1"/>
      <c r="I701" s="1"/>
      <c r="J701" s="1"/>
      <c r="K701" s="1"/>
      <c r="L701" s="41">
        <f>L702</f>
        <v>3034.3088699999998</v>
      </c>
      <c r="M701" s="41">
        <f>M702</f>
        <v>3034.3088699999998</v>
      </c>
      <c r="N701" s="46">
        <f t="shared" si="42"/>
        <v>100</v>
      </c>
    </row>
    <row r="702" spans="1:14" ht="62.4" outlineLevel="6">
      <c r="A702" s="2" t="s">
        <v>501</v>
      </c>
      <c r="B702" s="1" t="s">
        <v>489</v>
      </c>
      <c r="C702" s="1" t="s">
        <v>115</v>
      </c>
      <c r="D702" s="1" t="s">
        <v>93</v>
      </c>
      <c r="E702" s="1" t="s">
        <v>551</v>
      </c>
      <c r="F702" s="1" t="s">
        <v>16</v>
      </c>
      <c r="G702" s="1"/>
      <c r="H702" s="1"/>
      <c r="I702" s="1"/>
      <c r="J702" s="1"/>
      <c r="K702" s="1"/>
      <c r="L702" s="41">
        <f>L703+L704</f>
        <v>3034.3088699999998</v>
      </c>
      <c r="M702" s="41">
        <f>M703+M704</f>
        <v>3034.3088699999998</v>
      </c>
      <c r="N702" s="46">
        <f t="shared" si="42"/>
        <v>100</v>
      </c>
    </row>
    <row r="703" spans="1:14" ht="46.8" outlineLevel="7">
      <c r="A703" s="2" t="s">
        <v>41</v>
      </c>
      <c r="B703" s="1" t="s">
        <v>489</v>
      </c>
      <c r="C703" s="1" t="s">
        <v>115</v>
      </c>
      <c r="D703" s="1" t="s">
        <v>93</v>
      </c>
      <c r="E703" s="1" t="s">
        <v>551</v>
      </c>
      <c r="F703" s="1" t="s">
        <v>42</v>
      </c>
      <c r="G703" s="1"/>
      <c r="H703" s="1"/>
      <c r="I703" s="1"/>
      <c r="J703" s="1"/>
      <c r="K703" s="1"/>
      <c r="L703" s="41">
        <f>41.1+3.85+1.56419</f>
        <v>46.514189999999999</v>
      </c>
      <c r="M703" s="41">
        <f>41.1+3.85+1.56419</f>
        <v>46.514189999999999</v>
      </c>
      <c r="N703" s="46">
        <f t="shared" si="42"/>
        <v>100</v>
      </c>
    </row>
    <row r="704" spans="1:14" ht="31.2" outlineLevel="7">
      <c r="A704" s="2" t="s">
        <v>77</v>
      </c>
      <c r="B704" s="1" t="s">
        <v>489</v>
      </c>
      <c r="C704" s="1" t="s">
        <v>115</v>
      </c>
      <c r="D704" s="1" t="s">
        <v>93</v>
      </c>
      <c r="E704" s="1" t="s">
        <v>551</v>
      </c>
      <c r="F704" s="1" t="s">
        <v>78</v>
      </c>
      <c r="G704" s="1"/>
      <c r="H704" s="1"/>
      <c r="I704" s="1"/>
      <c r="J704" s="1"/>
      <c r="K704" s="1"/>
      <c r="L704" s="41">
        <f>2490.5+276.05+221.24468</f>
        <v>2987.79468</v>
      </c>
      <c r="M704" s="41">
        <f>2490.5+276.05+221.24468</f>
        <v>2987.79468</v>
      </c>
      <c r="N704" s="46">
        <f t="shared" si="42"/>
        <v>100</v>
      </c>
    </row>
    <row r="705" spans="1:14" ht="15.6" outlineLevel="2">
      <c r="A705" s="5" t="s">
        <v>356</v>
      </c>
      <c r="B705" s="6" t="s">
        <v>489</v>
      </c>
      <c r="C705" s="6" t="s">
        <v>115</v>
      </c>
      <c r="D705" s="6" t="s">
        <v>32</v>
      </c>
      <c r="E705" s="6"/>
      <c r="F705" s="6"/>
      <c r="G705" s="6"/>
      <c r="H705" s="6"/>
      <c r="I705" s="6"/>
      <c r="J705" s="6"/>
      <c r="K705" s="6"/>
      <c r="L705" s="40">
        <f>L706</f>
        <v>88255.299999999988</v>
      </c>
      <c r="M705" s="40">
        <f>M706</f>
        <v>88255.299999999988</v>
      </c>
      <c r="N705" s="47">
        <f t="shared" si="42"/>
        <v>100</v>
      </c>
    </row>
    <row r="706" spans="1:14" ht="46.8" outlineLevel="3">
      <c r="A706" s="2" t="s">
        <v>452</v>
      </c>
      <c r="B706" s="1" t="s">
        <v>489</v>
      </c>
      <c r="C706" s="1" t="s">
        <v>115</v>
      </c>
      <c r="D706" s="1" t="s">
        <v>32</v>
      </c>
      <c r="E706" s="1" t="s">
        <v>453</v>
      </c>
      <c r="F706" s="1" t="s">
        <v>16</v>
      </c>
      <c r="G706" s="1"/>
      <c r="H706" s="1"/>
      <c r="I706" s="1"/>
      <c r="J706" s="1"/>
      <c r="K706" s="1"/>
      <c r="L706" s="41">
        <f>L707+L712</f>
        <v>88255.299999999988</v>
      </c>
      <c r="M706" s="41">
        <f>M707+M712</f>
        <v>88255.299999999988</v>
      </c>
      <c r="N706" s="46">
        <f t="shared" si="42"/>
        <v>100</v>
      </c>
    </row>
    <row r="707" spans="1:14" ht="46.8" outlineLevel="4">
      <c r="A707" s="2" t="s">
        <v>454</v>
      </c>
      <c r="B707" s="1" t="s">
        <v>489</v>
      </c>
      <c r="C707" s="1" t="s">
        <v>115</v>
      </c>
      <c r="D707" s="1" t="s">
        <v>32</v>
      </c>
      <c r="E707" s="1" t="s">
        <v>455</v>
      </c>
      <c r="F707" s="1" t="s">
        <v>16</v>
      </c>
      <c r="G707" s="1"/>
      <c r="H707" s="1"/>
      <c r="I707" s="1"/>
      <c r="J707" s="1"/>
      <c r="K707" s="1"/>
      <c r="L707" s="41">
        <f>L708</f>
        <v>36499.899999999994</v>
      </c>
      <c r="M707" s="41">
        <f>M708</f>
        <v>36499.899999999994</v>
      </c>
      <c r="N707" s="46">
        <f t="shared" si="42"/>
        <v>100</v>
      </c>
    </row>
    <row r="708" spans="1:14" ht="62.4" outlineLevel="5">
      <c r="A708" s="2" t="s">
        <v>491</v>
      </c>
      <c r="B708" s="1" t="s">
        <v>489</v>
      </c>
      <c r="C708" s="1" t="s">
        <v>115</v>
      </c>
      <c r="D708" s="1" t="s">
        <v>32</v>
      </c>
      <c r="E708" s="1" t="s">
        <v>492</v>
      </c>
      <c r="F708" s="1" t="s">
        <v>16</v>
      </c>
      <c r="G708" s="1"/>
      <c r="H708" s="1"/>
      <c r="I708" s="1"/>
      <c r="J708" s="1"/>
      <c r="K708" s="1"/>
      <c r="L708" s="41">
        <f>L709</f>
        <v>36499.899999999994</v>
      </c>
      <c r="M708" s="41">
        <f>M709</f>
        <v>36499.899999999994</v>
      </c>
      <c r="N708" s="46">
        <f t="shared" si="42"/>
        <v>100</v>
      </c>
    </row>
    <row r="709" spans="1:14" ht="92.25" customHeight="1" outlineLevel="6">
      <c r="A709" s="2" t="s">
        <v>373</v>
      </c>
      <c r="B709" s="1" t="s">
        <v>489</v>
      </c>
      <c r="C709" s="1" t="s">
        <v>115</v>
      </c>
      <c r="D709" s="1" t="s">
        <v>32</v>
      </c>
      <c r="E709" s="1" t="s">
        <v>552</v>
      </c>
      <c r="F709" s="1" t="s">
        <v>16</v>
      </c>
      <c r="G709" s="1"/>
      <c r="H709" s="1"/>
      <c r="I709" s="1"/>
      <c r="J709" s="1"/>
      <c r="K709" s="1"/>
      <c r="L709" s="41">
        <f>L710+L711</f>
        <v>36499.899999999994</v>
      </c>
      <c r="M709" s="41">
        <f>M710+M711</f>
        <v>36499.899999999994</v>
      </c>
      <c r="N709" s="46">
        <f t="shared" si="42"/>
        <v>100</v>
      </c>
    </row>
    <row r="710" spans="1:14" ht="46.8" outlineLevel="7">
      <c r="A710" s="2" t="s">
        <v>41</v>
      </c>
      <c r="B710" s="1" t="s">
        <v>489</v>
      </c>
      <c r="C710" s="1" t="s">
        <v>115</v>
      </c>
      <c r="D710" s="1" t="s">
        <v>32</v>
      </c>
      <c r="E710" s="1" t="s">
        <v>552</v>
      </c>
      <c r="F710" s="1" t="s">
        <v>42</v>
      </c>
      <c r="G710" s="1"/>
      <c r="H710" s="1"/>
      <c r="I710" s="1"/>
      <c r="J710" s="1"/>
      <c r="K710" s="1"/>
      <c r="L710" s="41">
        <f>274+2+25.349+34.629+30.021-4.10808</f>
        <v>361.89092000000005</v>
      </c>
      <c r="M710" s="41">
        <f>274+2+25.349+34.629+30.021-4.10808</f>
        <v>361.89092000000005</v>
      </c>
      <c r="N710" s="46">
        <f t="shared" si="42"/>
        <v>100</v>
      </c>
    </row>
    <row r="711" spans="1:14" ht="31.2" outlineLevel="7">
      <c r="A711" s="2" t="s">
        <v>77</v>
      </c>
      <c r="B711" s="1" t="s">
        <v>489</v>
      </c>
      <c r="C711" s="1" t="s">
        <v>115</v>
      </c>
      <c r="D711" s="1" t="s">
        <v>32</v>
      </c>
      <c r="E711" s="1" t="s">
        <v>552</v>
      </c>
      <c r="F711" s="1" t="s">
        <v>78</v>
      </c>
      <c r="G711" s="1"/>
      <c r="H711" s="1"/>
      <c r="I711" s="1"/>
      <c r="J711" s="1"/>
      <c r="K711" s="1"/>
      <c r="L711" s="41">
        <f>27369-2+2366.551+3428.271+2972.079+4.10808</f>
        <v>36138.009079999996</v>
      </c>
      <c r="M711" s="41">
        <f>27369-2+2366.551+3428.271+2972.079+4.10808</f>
        <v>36138.009079999996</v>
      </c>
      <c r="N711" s="46">
        <f t="shared" si="42"/>
        <v>100</v>
      </c>
    </row>
    <row r="712" spans="1:14" ht="46.8" outlineLevel="4">
      <c r="A712" s="2" t="s">
        <v>553</v>
      </c>
      <c r="B712" s="1" t="s">
        <v>489</v>
      </c>
      <c r="C712" s="1" t="s">
        <v>115</v>
      </c>
      <c r="D712" s="1" t="s">
        <v>32</v>
      </c>
      <c r="E712" s="1" t="s">
        <v>554</v>
      </c>
      <c r="F712" s="1" t="s">
        <v>16</v>
      </c>
      <c r="G712" s="1"/>
      <c r="H712" s="1"/>
      <c r="I712" s="1"/>
      <c r="J712" s="1"/>
      <c r="K712" s="1"/>
      <c r="L712" s="41">
        <f>L713+L723</f>
        <v>51755.399999999994</v>
      </c>
      <c r="M712" s="41">
        <f>M713+M723</f>
        <v>51755.399999999994</v>
      </c>
      <c r="N712" s="46">
        <f t="shared" si="42"/>
        <v>100</v>
      </c>
    </row>
    <row r="713" spans="1:14" ht="46.8" outlineLevel="5">
      <c r="A713" s="2" t="s">
        <v>555</v>
      </c>
      <c r="B713" s="1" t="s">
        <v>489</v>
      </c>
      <c r="C713" s="1" t="s">
        <v>115</v>
      </c>
      <c r="D713" s="1" t="s">
        <v>32</v>
      </c>
      <c r="E713" s="1" t="s">
        <v>556</v>
      </c>
      <c r="F713" s="1" t="s">
        <v>16</v>
      </c>
      <c r="G713" s="1"/>
      <c r="H713" s="1"/>
      <c r="I713" s="1"/>
      <c r="J713" s="1"/>
      <c r="K713" s="1"/>
      <c r="L713" s="41">
        <f>L714+L717+L720</f>
        <v>49184.399999999994</v>
      </c>
      <c r="M713" s="41">
        <f>M714+M717+M720</f>
        <v>49184.399999999994</v>
      </c>
      <c r="N713" s="46">
        <f t="shared" si="42"/>
        <v>100</v>
      </c>
    </row>
    <row r="714" spans="1:14" ht="78" outlineLevel="6">
      <c r="A714" s="2" t="s">
        <v>557</v>
      </c>
      <c r="B714" s="1" t="s">
        <v>489</v>
      </c>
      <c r="C714" s="1" t="s">
        <v>115</v>
      </c>
      <c r="D714" s="1" t="s">
        <v>32</v>
      </c>
      <c r="E714" s="1" t="s">
        <v>558</v>
      </c>
      <c r="F714" s="1" t="s">
        <v>16</v>
      </c>
      <c r="G714" s="1"/>
      <c r="H714" s="1"/>
      <c r="I714" s="1"/>
      <c r="J714" s="1"/>
      <c r="K714" s="1"/>
      <c r="L714" s="41">
        <f>L715+L716</f>
        <v>14721.46775</v>
      </c>
      <c r="M714" s="41">
        <f>M715+M716</f>
        <v>14721.46775</v>
      </c>
      <c r="N714" s="46">
        <f t="shared" si="42"/>
        <v>100</v>
      </c>
    </row>
    <row r="715" spans="1:14" ht="46.8" outlineLevel="7">
      <c r="A715" s="2" t="s">
        <v>41</v>
      </c>
      <c r="B715" s="1" t="s">
        <v>489</v>
      </c>
      <c r="C715" s="1" t="s">
        <v>115</v>
      </c>
      <c r="D715" s="1" t="s">
        <v>32</v>
      </c>
      <c r="E715" s="1" t="s">
        <v>558</v>
      </c>
      <c r="F715" s="1" t="s">
        <v>42</v>
      </c>
      <c r="G715" s="1"/>
      <c r="H715" s="1"/>
      <c r="I715" s="1"/>
      <c r="J715" s="1"/>
      <c r="K715" s="1"/>
      <c r="L715" s="41">
        <f>90.9+2+8.17851</f>
        <v>101.07851000000001</v>
      </c>
      <c r="M715" s="41">
        <f>90.9+2+8.17851</f>
        <v>101.07851000000001</v>
      </c>
      <c r="N715" s="46">
        <f t="shared" si="42"/>
        <v>100</v>
      </c>
    </row>
    <row r="716" spans="1:14" ht="31.2" outlineLevel="7">
      <c r="A716" s="2" t="s">
        <v>77</v>
      </c>
      <c r="B716" s="1" t="s">
        <v>489</v>
      </c>
      <c r="C716" s="1" t="s">
        <v>115</v>
      </c>
      <c r="D716" s="1" t="s">
        <v>32</v>
      </c>
      <c r="E716" s="1" t="s">
        <v>558</v>
      </c>
      <c r="F716" s="1" t="s">
        <v>78</v>
      </c>
      <c r="G716" s="1"/>
      <c r="H716" s="1"/>
      <c r="I716" s="1"/>
      <c r="J716" s="1"/>
      <c r="K716" s="1"/>
      <c r="L716" s="41">
        <f>13079.1-754.5+745+241.9+1308.88924</f>
        <v>14620.38924</v>
      </c>
      <c r="M716" s="41">
        <f>13079.1-754.5+745+241.9+1308.88924</f>
        <v>14620.38924</v>
      </c>
      <c r="N716" s="46">
        <f t="shared" si="42"/>
        <v>100</v>
      </c>
    </row>
    <row r="717" spans="1:14" ht="78" outlineLevel="6">
      <c r="A717" s="2" t="s">
        <v>559</v>
      </c>
      <c r="B717" s="1" t="s">
        <v>489</v>
      </c>
      <c r="C717" s="1" t="s">
        <v>115</v>
      </c>
      <c r="D717" s="1" t="s">
        <v>32</v>
      </c>
      <c r="E717" s="1" t="s">
        <v>560</v>
      </c>
      <c r="F717" s="1" t="s">
        <v>16</v>
      </c>
      <c r="G717" s="1"/>
      <c r="H717" s="1"/>
      <c r="I717" s="1"/>
      <c r="J717" s="1"/>
      <c r="K717" s="1"/>
      <c r="L717" s="41">
        <f>L718+L719</f>
        <v>21220.543969999999</v>
      </c>
      <c r="M717" s="41">
        <f>M718+M719</f>
        <v>21220.543969999999</v>
      </c>
      <c r="N717" s="46">
        <f t="shared" si="42"/>
        <v>100</v>
      </c>
    </row>
    <row r="718" spans="1:14" ht="46.8" outlineLevel="7">
      <c r="A718" s="2" t="s">
        <v>41</v>
      </c>
      <c r="B718" s="1" t="s">
        <v>489</v>
      </c>
      <c r="C718" s="1" t="s">
        <v>115</v>
      </c>
      <c r="D718" s="1" t="s">
        <v>32</v>
      </c>
      <c r="E718" s="1" t="s">
        <v>560</v>
      </c>
      <c r="F718" s="1" t="s">
        <v>42</v>
      </c>
      <c r="G718" s="1"/>
      <c r="H718" s="1"/>
      <c r="I718" s="1"/>
      <c r="J718" s="1"/>
      <c r="K718" s="1"/>
      <c r="L718" s="41">
        <f>197-2.4+2.31576</f>
        <v>196.91576000000001</v>
      </c>
      <c r="M718" s="41">
        <f>197-2.4+2.31576</f>
        <v>196.91576000000001</v>
      </c>
      <c r="N718" s="46">
        <f t="shared" si="42"/>
        <v>100</v>
      </c>
    </row>
    <row r="719" spans="1:14" ht="31.2" outlineLevel="7">
      <c r="A719" s="2" t="s">
        <v>77</v>
      </c>
      <c r="B719" s="1" t="s">
        <v>489</v>
      </c>
      <c r="C719" s="1" t="s">
        <v>115</v>
      </c>
      <c r="D719" s="1" t="s">
        <v>32</v>
      </c>
      <c r="E719" s="1" t="s">
        <v>560</v>
      </c>
      <c r="F719" s="1" t="s">
        <v>78</v>
      </c>
      <c r="G719" s="1"/>
      <c r="H719" s="1"/>
      <c r="I719" s="1"/>
      <c r="J719" s="1"/>
      <c r="K719" s="1"/>
      <c r="L719" s="41">
        <f>20428+325.5-15.76601-38.2+74.16908-0.052+249.97714</f>
        <v>21023.628209999999</v>
      </c>
      <c r="M719" s="41">
        <f>20428+325.5-15.76601-38.2+74.16908-0.052+249.97714</f>
        <v>21023.628209999999</v>
      </c>
      <c r="N719" s="46">
        <f t="shared" si="42"/>
        <v>100</v>
      </c>
    </row>
    <row r="720" spans="1:14" ht="78" outlineLevel="6">
      <c r="A720" s="2" t="s">
        <v>561</v>
      </c>
      <c r="B720" s="1" t="s">
        <v>489</v>
      </c>
      <c r="C720" s="1" t="s">
        <v>115</v>
      </c>
      <c r="D720" s="1" t="s">
        <v>32</v>
      </c>
      <c r="E720" s="1" t="s">
        <v>562</v>
      </c>
      <c r="F720" s="1" t="s">
        <v>16</v>
      </c>
      <c r="G720" s="1"/>
      <c r="H720" s="1"/>
      <c r="I720" s="1"/>
      <c r="J720" s="1"/>
      <c r="K720" s="1"/>
      <c r="L720" s="41">
        <f>L721+L722</f>
        <v>13242.388279999996</v>
      </c>
      <c r="M720" s="41">
        <f>M721+M722</f>
        <v>13242.388279999996</v>
      </c>
      <c r="N720" s="46">
        <f t="shared" si="42"/>
        <v>100</v>
      </c>
    </row>
    <row r="721" spans="1:14" ht="46.8" outlineLevel="7">
      <c r="A721" s="2" t="s">
        <v>41</v>
      </c>
      <c r="B721" s="1" t="s">
        <v>489</v>
      </c>
      <c r="C721" s="1" t="s">
        <v>115</v>
      </c>
      <c r="D721" s="1" t="s">
        <v>32</v>
      </c>
      <c r="E721" s="1" t="s">
        <v>562</v>
      </c>
      <c r="F721" s="1" t="s">
        <v>42</v>
      </c>
      <c r="G721" s="1"/>
      <c r="H721" s="1"/>
      <c r="I721" s="1"/>
      <c r="J721" s="1"/>
      <c r="K721" s="1"/>
      <c r="L721" s="41">
        <f>100.5+20.38-7.38+0.4+8.05659</f>
        <v>121.95659000000001</v>
      </c>
      <c r="M721" s="41">
        <f>100.5+20.38-7.38+0.4+8.05659</f>
        <v>121.95659000000001</v>
      </c>
      <c r="N721" s="46">
        <f t="shared" si="42"/>
        <v>100</v>
      </c>
    </row>
    <row r="722" spans="1:14" ht="31.2" outlineLevel="7">
      <c r="A722" s="2" t="s">
        <v>77</v>
      </c>
      <c r="B722" s="1" t="s">
        <v>489</v>
      </c>
      <c r="C722" s="1" t="s">
        <v>115</v>
      </c>
      <c r="D722" s="1" t="s">
        <v>32</v>
      </c>
      <c r="E722" s="1" t="s">
        <v>562</v>
      </c>
      <c r="F722" s="1" t="s">
        <v>78</v>
      </c>
      <c r="G722" s="1"/>
      <c r="H722" s="1"/>
      <c r="I722" s="1"/>
      <c r="J722" s="1"/>
      <c r="K722" s="1"/>
      <c r="L722" s="41">
        <f>10749.5+429+2037.62-737.62+15.76601-203.7+829.94668-0.081</f>
        <v>13120.431689999996</v>
      </c>
      <c r="M722" s="41">
        <f>10749.5+429+2037.62-737.62+15.76601-203.7+829.94668-0.081</f>
        <v>13120.431689999996</v>
      </c>
      <c r="N722" s="46">
        <f t="shared" si="42"/>
        <v>100</v>
      </c>
    </row>
    <row r="723" spans="1:14" ht="46.8" outlineLevel="5">
      <c r="A723" s="2" t="s">
        <v>563</v>
      </c>
      <c r="B723" s="1" t="s">
        <v>489</v>
      </c>
      <c r="C723" s="1" t="s">
        <v>115</v>
      </c>
      <c r="D723" s="1" t="s">
        <v>32</v>
      </c>
      <c r="E723" s="1" t="s">
        <v>564</v>
      </c>
      <c r="F723" s="1" t="s">
        <v>16</v>
      </c>
      <c r="G723" s="1"/>
      <c r="H723" s="1"/>
      <c r="I723" s="1"/>
      <c r="J723" s="1"/>
      <c r="K723" s="1"/>
      <c r="L723" s="41">
        <f>L724</f>
        <v>2571</v>
      </c>
      <c r="M723" s="41">
        <f>M724</f>
        <v>2571</v>
      </c>
      <c r="N723" s="46">
        <f t="shared" si="42"/>
        <v>100</v>
      </c>
    </row>
    <row r="724" spans="1:14" ht="62.4" outlineLevel="6">
      <c r="A724" s="2" t="s">
        <v>565</v>
      </c>
      <c r="B724" s="1" t="s">
        <v>489</v>
      </c>
      <c r="C724" s="1" t="s">
        <v>115</v>
      </c>
      <c r="D724" s="1" t="s">
        <v>32</v>
      </c>
      <c r="E724" s="1" t="s">
        <v>566</v>
      </c>
      <c r="F724" s="1" t="s">
        <v>16</v>
      </c>
      <c r="G724" s="1"/>
      <c r="H724" s="1"/>
      <c r="I724" s="1"/>
      <c r="J724" s="1"/>
      <c r="K724" s="1"/>
      <c r="L724" s="41">
        <f>L725+L726</f>
        <v>2571</v>
      </c>
      <c r="M724" s="41">
        <f>M725+M726</f>
        <v>2571</v>
      </c>
      <c r="N724" s="46">
        <f t="shared" si="42"/>
        <v>100</v>
      </c>
    </row>
    <row r="725" spans="1:14" ht="109.2" outlineLevel="7">
      <c r="A725" s="2" t="s">
        <v>29</v>
      </c>
      <c r="B725" s="1" t="s">
        <v>489</v>
      </c>
      <c r="C725" s="1" t="s">
        <v>115</v>
      </c>
      <c r="D725" s="1" t="s">
        <v>32</v>
      </c>
      <c r="E725" s="1" t="s">
        <v>566</v>
      </c>
      <c r="F725" s="1" t="s">
        <v>30</v>
      </c>
      <c r="G725" s="1"/>
      <c r="H725" s="1"/>
      <c r="I725" s="1"/>
      <c r="J725" s="1"/>
      <c r="K725" s="1"/>
      <c r="L725" s="41">
        <v>2427.1</v>
      </c>
      <c r="M725" s="41">
        <v>2427.1</v>
      </c>
      <c r="N725" s="46">
        <f t="shared" si="42"/>
        <v>100</v>
      </c>
    </row>
    <row r="726" spans="1:14" ht="46.8" outlineLevel="7">
      <c r="A726" s="2" t="s">
        <v>41</v>
      </c>
      <c r="B726" s="1" t="s">
        <v>489</v>
      </c>
      <c r="C726" s="1" t="s">
        <v>115</v>
      </c>
      <c r="D726" s="1" t="s">
        <v>32</v>
      </c>
      <c r="E726" s="1" t="s">
        <v>566</v>
      </c>
      <c r="F726" s="1" t="s">
        <v>42</v>
      </c>
      <c r="G726" s="1"/>
      <c r="H726" s="1"/>
      <c r="I726" s="1"/>
      <c r="J726" s="1"/>
      <c r="K726" s="1"/>
      <c r="L726" s="41">
        <v>143.9</v>
      </c>
      <c r="M726" s="41">
        <v>143.9</v>
      </c>
      <c r="N726" s="46">
        <f t="shared" si="42"/>
        <v>100</v>
      </c>
    </row>
    <row r="727" spans="1:14" ht="31.2">
      <c r="A727" s="3" t="s">
        <v>567</v>
      </c>
      <c r="B727" s="4" t="s">
        <v>568</v>
      </c>
      <c r="C727" s="4"/>
      <c r="D727" s="4"/>
      <c r="E727" s="4"/>
      <c r="F727" s="4"/>
      <c r="G727" s="4"/>
      <c r="H727" s="4"/>
      <c r="I727" s="4"/>
      <c r="J727" s="4"/>
      <c r="K727" s="4"/>
      <c r="L727" s="39">
        <f>L728</f>
        <v>17224.2</v>
      </c>
      <c r="M727" s="39">
        <f>M728</f>
        <v>17112.281780000001</v>
      </c>
      <c r="N727" s="49">
        <f t="shared" si="42"/>
        <v>99.350226890073273</v>
      </c>
    </row>
    <row r="728" spans="1:14" ht="15.6" outlineLevel="1">
      <c r="A728" s="3" t="s">
        <v>364</v>
      </c>
      <c r="B728" s="4" t="s">
        <v>568</v>
      </c>
      <c r="C728" s="4" t="s">
        <v>365</v>
      </c>
      <c r="D728" s="4"/>
      <c r="E728" s="4"/>
      <c r="F728" s="4"/>
      <c r="G728" s="4"/>
      <c r="H728" s="4"/>
      <c r="I728" s="4"/>
      <c r="J728" s="4"/>
      <c r="K728" s="4"/>
      <c r="L728" s="39">
        <f>L729+L739+L757</f>
        <v>17224.2</v>
      </c>
      <c r="M728" s="39">
        <f>M729+M739+M757</f>
        <v>17112.281780000001</v>
      </c>
      <c r="N728" s="49">
        <f t="shared" si="42"/>
        <v>99.350226890073273</v>
      </c>
    </row>
    <row r="729" spans="1:14" ht="15.6" outlineLevel="2">
      <c r="A729" s="5" t="s">
        <v>366</v>
      </c>
      <c r="B729" s="6" t="s">
        <v>568</v>
      </c>
      <c r="C729" s="6" t="s">
        <v>365</v>
      </c>
      <c r="D729" s="6" t="s">
        <v>20</v>
      </c>
      <c r="E729" s="6"/>
      <c r="F729" s="6"/>
      <c r="G729" s="6"/>
      <c r="H729" s="6"/>
      <c r="I729" s="6"/>
      <c r="J729" s="6"/>
      <c r="K729" s="6"/>
      <c r="L729" s="40">
        <f t="shared" ref="L729:M731" si="43">L730</f>
        <v>12644.1</v>
      </c>
      <c r="M729" s="40">
        <f t="shared" si="43"/>
        <v>12535.03234</v>
      </c>
      <c r="N729" s="47">
        <f t="shared" si="42"/>
        <v>99.137402741199438</v>
      </c>
    </row>
    <row r="730" spans="1:14" ht="31.2" outlineLevel="3">
      <c r="A730" s="2" t="s">
        <v>569</v>
      </c>
      <c r="B730" s="1" t="s">
        <v>568</v>
      </c>
      <c r="C730" s="1" t="s">
        <v>365</v>
      </c>
      <c r="D730" s="1" t="s">
        <v>20</v>
      </c>
      <c r="E730" s="1" t="s">
        <v>570</v>
      </c>
      <c r="F730" s="1" t="s">
        <v>16</v>
      </c>
      <c r="G730" s="1"/>
      <c r="H730" s="1"/>
      <c r="I730" s="1"/>
      <c r="J730" s="1"/>
      <c r="K730" s="1"/>
      <c r="L730" s="41">
        <f t="shared" si="43"/>
        <v>12644.1</v>
      </c>
      <c r="M730" s="41">
        <f t="shared" si="43"/>
        <v>12535.03234</v>
      </c>
      <c r="N730" s="46">
        <f t="shared" si="42"/>
        <v>99.137402741199438</v>
      </c>
    </row>
    <row r="731" spans="1:14" ht="46.8" outlineLevel="4">
      <c r="A731" s="2" t="s">
        <v>571</v>
      </c>
      <c r="B731" s="1" t="s">
        <v>568</v>
      </c>
      <c r="C731" s="1" t="s">
        <v>365</v>
      </c>
      <c r="D731" s="1" t="s">
        <v>20</v>
      </c>
      <c r="E731" s="1" t="s">
        <v>572</v>
      </c>
      <c r="F731" s="1" t="s">
        <v>16</v>
      </c>
      <c r="G731" s="1"/>
      <c r="H731" s="1"/>
      <c r="I731" s="1"/>
      <c r="J731" s="1"/>
      <c r="K731" s="1"/>
      <c r="L731" s="41">
        <f t="shared" si="43"/>
        <v>12644.1</v>
      </c>
      <c r="M731" s="41">
        <f t="shared" si="43"/>
        <v>12535.03234</v>
      </c>
      <c r="N731" s="46">
        <f t="shared" si="42"/>
        <v>99.137402741199438</v>
      </c>
    </row>
    <row r="732" spans="1:14" ht="46.8" outlineLevel="5">
      <c r="A732" s="2" t="s">
        <v>281</v>
      </c>
      <c r="B732" s="1" t="s">
        <v>568</v>
      </c>
      <c r="C732" s="1" t="s">
        <v>365</v>
      </c>
      <c r="D732" s="1" t="s">
        <v>20</v>
      </c>
      <c r="E732" s="1" t="s">
        <v>573</v>
      </c>
      <c r="F732" s="1" t="s">
        <v>16</v>
      </c>
      <c r="G732" s="1"/>
      <c r="H732" s="1"/>
      <c r="I732" s="1"/>
      <c r="J732" s="1"/>
      <c r="K732" s="1"/>
      <c r="L732" s="41">
        <f>L733+L735+L737</f>
        <v>12644.1</v>
      </c>
      <c r="M732" s="41">
        <f>M733+M735+M737</f>
        <v>12535.03234</v>
      </c>
      <c r="N732" s="46">
        <f t="shared" si="42"/>
        <v>99.137402741199438</v>
      </c>
    </row>
    <row r="733" spans="1:14" ht="46.8" outlineLevel="6">
      <c r="A733" s="2" t="s">
        <v>393</v>
      </c>
      <c r="B733" s="1" t="s">
        <v>568</v>
      </c>
      <c r="C733" s="1" t="s">
        <v>365</v>
      </c>
      <c r="D733" s="1" t="s">
        <v>20</v>
      </c>
      <c r="E733" s="1" t="s">
        <v>574</v>
      </c>
      <c r="F733" s="1" t="s">
        <v>16</v>
      </c>
      <c r="G733" s="1"/>
      <c r="H733" s="1"/>
      <c r="I733" s="1"/>
      <c r="J733" s="1"/>
      <c r="K733" s="1"/>
      <c r="L733" s="41">
        <f>L734</f>
        <v>3</v>
      </c>
      <c r="M733" s="41">
        <f>M734</f>
        <v>3</v>
      </c>
      <c r="N733" s="46">
        <f t="shared" si="42"/>
        <v>100</v>
      </c>
    </row>
    <row r="734" spans="1:14" ht="46.8" outlineLevel="7">
      <c r="A734" s="2" t="s">
        <v>41</v>
      </c>
      <c r="B734" s="1" t="s">
        <v>568</v>
      </c>
      <c r="C734" s="1" t="s">
        <v>365</v>
      </c>
      <c r="D734" s="1" t="s">
        <v>20</v>
      </c>
      <c r="E734" s="1" t="s">
        <v>574</v>
      </c>
      <c r="F734" s="1" t="s">
        <v>42</v>
      </c>
      <c r="G734" s="1"/>
      <c r="H734" s="1"/>
      <c r="I734" s="1"/>
      <c r="J734" s="1"/>
      <c r="K734" s="1"/>
      <c r="L734" s="41">
        <v>3</v>
      </c>
      <c r="M734" s="41">
        <v>3</v>
      </c>
      <c r="N734" s="46">
        <f t="shared" si="42"/>
        <v>100</v>
      </c>
    </row>
    <row r="735" spans="1:14" ht="140.4" outlineLevel="6">
      <c r="A735" s="2" t="s">
        <v>447</v>
      </c>
      <c r="B735" s="1" t="s">
        <v>568</v>
      </c>
      <c r="C735" s="1" t="s">
        <v>365</v>
      </c>
      <c r="D735" s="1" t="s">
        <v>20</v>
      </c>
      <c r="E735" s="1" t="s">
        <v>575</v>
      </c>
      <c r="F735" s="1" t="s">
        <v>16</v>
      </c>
      <c r="G735" s="1"/>
      <c r="H735" s="1"/>
      <c r="I735" s="1"/>
      <c r="J735" s="1"/>
      <c r="K735" s="1"/>
      <c r="L735" s="41">
        <f>L736</f>
        <v>767.9</v>
      </c>
      <c r="M735" s="41">
        <f>M736</f>
        <v>767.9</v>
      </c>
      <c r="N735" s="46">
        <f t="shared" si="42"/>
        <v>100</v>
      </c>
    </row>
    <row r="736" spans="1:14" ht="62.4" outlineLevel="7">
      <c r="A736" s="2" t="s">
        <v>90</v>
      </c>
      <c r="B736" s="1" t="s">
        <v>568</v>
      </c>
      <c r="C736" s="1" t="s">
        <v>365</v>
      </c>
      <c r="D736" s="1" t="s">
        <v>20</v>
      </c>
      <c r="E736" s="1" t="s">
        <v>575</v>
      </c>
      <c r="F736" s="1" t="s">
        <v>91</v>
      </c>
      <c r="G736" s="1"/>
      <c r="H736" s="1"/>
      <c r="I736" s="1"/>
      <c r="J736" s="1"/>
      <c r="K736" s="1"/>
      <c r="L736" s="41">
        <f>552+215.9</f>
        <v>767.9</v>
      </c>
      <c r="M736" s="41">
        <f>552+215.9</f>
        <v>767.9</v>
      </c>
      <c r="N736" s="46">
        <f t="shared" si="42"/>
        <v>100</v>
      </c>
    </row>
    <row r="737" spans="1:14" ht="46.8" outlineLevel="6">
      <c r="A737" s="2" t="s">
        <v>449</v>
      </c>
      <c r="B737" s="1" t="s">
        <v>568</v>
      </c>
      <c r="C737" s="1" t="s">
        <v>365</v>
      </c>
      <c r="D737" s="1" t="s">
        <v>20</v>
      </c>
      <c r="E737" s="1" t="s">
        <v>576</v>
      </c>
      <c r="F737" s="1" t="s">
        <v>16</v>
      </c>
      <c r="G737" s="1"/>
      <c r="H737" s="1"/>
      <c r="I737" s="1"/>
      <c r="J737" s="1"/>
      <c r="K737" s="1"/>
      <c r="L737" s="41">
        <f>L738</f>
        <v>11873.2</v>
      </c>
      <c r="M737" s="41">
        <f>M738</f>
        <v>11764.13234</v>
      </c>
      <c r="N737" s="46">
        <f t="shared" si="42"/>
        <v>99.08139625374794</v>
      </c>
    </row>
    <row r="738" spans="1:14" ht="62.4" outlineLevel="7">
      <c r="A738" s="2" t="s">
        <v>90</v>
      </c>
      <c r="B738" s="1" t="s">
        <v>568</v>
      </c>
      <c r="C738" s="1" t="s">
        <v>365</v>
      </c>
      <c r="D738" s="1" t="s">
        <v>20</v>
      </c>
      <c r="E738" s="1" t="s">
        <v>576</v>
      </c>
      <c r="F738" s="1" t="s">
        <v>91</v>
      </c>
      <c r="G738" s="1"/>
      <c r="H738" s="1"/>
      <c r="I738" s="1"/>
      <c r="J738" s="1"/>
      <c r="K738" s="1"/>
      <c r="L738" s="41">
        <f>10670.6+467.6+205.4+529.6</f>
        <v>11873.2</v>
      </c>
      <c r="M738" s="44">
        <v>11764.13234</v>
      </c>
      <c r="N738" s="46">
        <f t="shared" si="42"/>
        <v>99.08139625374794</v>
      </c>
    </row>
    <row r="739" spans="1:14" ht="31.2" outlineLevel="2">
      <c r="A739" s="5" t="s">
        <v>451</v>
      </c>
      <c r="B739" s="6" t="s">
        <v>568</v>
      </c>
      <c r="C739" s="6" t="s">
        <v>365</v>
      </c>
      <c r="D739" s="6" t="s">
        <v>365</v>
      </c>
      <c r="E739" s="6"/>
      <c r="F739" s="6"/>
      <c r="G739" s="6"/>
      <c r="H739" s="6"/>
      <c r="I739" s="6"/>
      <c r="J739" s="6"/>
      <c r="K739" s="6"/>
      <c r="L739" s="40">
        <f>L740</f>
        <v>1304</v>
      </c>
      <c r="M739" s="40">
        <f>M740</f>
        <v>1301.4373599999999</v>
      </c>
      <c r="N739" s="47">
        <f t="shared" si="42"/>
        <v>99.803478527607353</v>
      </c>
    </row>
    <row r="740" spans="1:14" ht="31.2" outlineLevel="3">
      <c r="A740" s="2" t="s">
        <v>569</v>
      </c>
      <c r="B740" s="1" t="s">
        <v>568</v>
      </c>
      <c r="C740" s="1" t="s">
        <v>365</v>
      </c>
      <c r="D740" s="1" t="s">
        <v>365</v>
      </c>
      <c r="E740" s="1" t="s">
        <v>570</v>
      </c>
      <c r="F740" s="1" t="s">
        <v>16</v>
      </c>
      <c r="G740" s="1"/>
      <c r="H740" s="1"/>
      <c r="I740" s="1"/>
      <c r="J740" s="1"/>
      <c r="K740" s="1"/>
      <c r="L740" s="41">
        <f>L741+L749</f>
        <v>1304</v>
      </c>
      <c r="M740" s="41">
        <f>M741+M749</f>
        <v>1301.4373599999999</v>
      </c>
      <c r="N740" s="46">
        <f t="shared" si="42"/>
        <v>99.803478527607353</v>
      </c>
    </row>
    <row r="741" spans="1:14" ht="31.2" outlineLevel="4">
      <c r="A741" s="2" t="s">
        <v>577</v>
      </c>
      <c r="B741" s="1" t="s">
        <v>568</v>
      </c>
      <c r="C741" s="1" t="s">
        <v>365</v>
      </c>
      <c r="D741" s="1" t="s">
        <v>365</v>
      </c>
      <c r="E741" s="1" t="s">
        <v>578</v>
      </c>
      <c r="F741" s="1" t="s">
        <v>16</v>
      </c>
      <c r="G741" s="1"/>
      <c r="H741" s="1"/>
      <c r="I741" s="1"/>
      <c r="J741" s="1"/>
      <c r="K741" s="1"/>
      <c r="L741" s="41">
        <f>L742</f>
        <v>1144</v>
      </c>
      <c r="M741" s="41">
        <f>M742</f>
        <v>1141.4373599999999</v>
      </c>
      <c r="N741" s="46">
        <f t="shared" si="42"/>
        <v>99.775993006993005</v>
      </c>
    </row>
    <row r="742" spans="1:14" ht="46.8" outlineLevel="5">
      <c r="A742" s="2" t="s">
        <v>579</v>
      </c>
      <c r="B742" s="1" t="s">
        <v>568</v>
      </c>
      <c r="C742" s="1" t="s">
        <v>365</v>
      </c>
      <c r="D742" s="1" t="s">
        <v>365</v>
      </c>
      <c r="E742" s="1" t="s">
        <v>580</v>
      </c>
      <c r="F742" s="1" t="s">
        <v>16</v>
      </c>
      <c r="G742" s="1"/>
      <c r="H742" s="1"/>
      <c r="I742" s="1"/>
      <c r="J742" s="1"/>
      <c r="K742" s="1"/>
      <c r="L742" s="41">
        <f>L743+L745+L747</f>
        <v>1144</v>
      </c>
      <c r="M742" s="41">
        <f>M743+M745+M747</f>
        <v>1141.4373599999999</v>
      </c>
      <c r="N742" s="46">
        <f t="shared" si="42"/>
        <v>99.775993006993005</v>
      </c>
    </row>
    <row r="743" spans="1:14" ht="31.2" outlineLevel="6">
      <c r="A743" s="2" t="s">
        <v>581</v>
      </c>
      <c r="B743" s="1" t="s">
        <v>568</v>
      </c>
      <c r="C743" s="1" t="s">
        <v>365</v>
      </c>
      <c r="D743" s="1" t="s">
        <v>365</v>
      </c>
      <c r="E743" s="1" t="s">
        <v>582</v>
      </c>
      <c r="F743" s="1" t="s">
        <v>16</v>
      </c>
      <c r="G743" s="1"/>
      <c r="H743" s="1"/>
      <c r="I743" s="1"/>
      <c r="J743" s="1"/>
      <c r="K743" s="1"/>
      <c r="L743" s="41">
        <f>L744</f>
        <v>865</v>
      </c>
      <c r="M743" s="41">
        <f>M744</f>
        <v>862.43736000000001</v>
      </c>
      <c r="N743" s="46">
        <f t="shared" si="42"/>
        <v>99.703741040462432</v>
      </c>
    </row>
    <row r="744" spans="1:14" ht="46.8" outlineLevel="7">
      <c r="A744" s="2" t="s">
        <v>41</v>
      </c>
      <c r="B744" s="1" t="s">
        <v>568</v>
      </c>
      <c r="C744" s="1" t="s">
        <v>365</v>
      </c>
      <c r="D744" s="1" t="s">
        <v>365</v>
      </c>
      <c r="E744" s="1" t="s">
        <v>582</v>
      </c>
      <c r="F744" s="1" t="s">
        <v>42</v>
      </c>
      <c r="G744" s="1"/>
      <c r="H744" s="1"/>
      <c r="I744" s="1"/>
      <c r="J744" s="1"/>
      <c r="K744" s="1"/>
      <c r="L744" s="41">
        <f>725+140</f>
        <v>865</v>
      </c>
      <c r="M744" s="44">
        <v>862.43736000000001</v>
      </c>
      <c r="N744" s="46">
        <f t="shared" si="42"/>
        <v>99.703741040462432</v>
      </c>
    </row>
    <row r="745" spans="1:14" ht="93.6" outlineLevel="6">
      <c r="A745" s="2" t="s">
        <v>583</v>
      </c>
      <c r="B745" s="1" t="s">
        <v>568</v>
      </c>
      <c r="C745" s="1" t="s">
        <v>365</v>
      </c>
      <c r="D745" s="1" t="s">
        <v>365</v>
      </c>
      <c r="E745" s="1" t="s">
        <v>584</v>
      </c>
      <c r="F745" s="1" t="s">
        <v>16</v>
      </c>
      <c r="G745" s="1"/>
      <c r="H745" s="1"/>
      <c r="I745" s="1"/>
      <c r="J745" s="1"/>
      <c r="K745" s="1"/>
      <c r="L745" s="41">
        <f>L746</f>
        <v>99</v>
      </c>
      <c r="M745" s="41">
        <f>M746</f>
        <v>99</v>
      </c>
      <c r="N745" s="46">
        <f t="shared" si="42"/>
        <v>100</v>
      </c>
    </row>
    <row r="746" spans="1:14" ht="31.2" outlineLevel="7">
      <c r="A746" s="2" t="s">
        <v>77</v>
      </c>
      <c r="B746" s="1" t="s">
        <v>568</v>
      </c>
      <c r="C746" s="1" t="s">
        <v>365</v>
      </c>
      <c r="D746" s="1" t="s">
        <v>365</v>
      </c>
      <c r="E746" s="1" t="s">
        <v>584</v>
      </c>
      <c r="F746" s="1" t="s">
        <v>78</v>
      </c>
      <c r="G746" s="1"/>
      <c r="H746" s="1"/>
      <c r="I746" s="1"/>
      <c r="J746" s="1"/>
      <c r="K746" s="1"/>
      <c r="L746" s="41">
        <v>99</v>
      </c>
      <c r="M746" s="41">
        <v>99</v>
      </c>
      <c r="N746" s="46">
        <f t="shared" si="42"/>
        <v>100</v>
      </c>
    </row>
    <row r="747" spans="1:14" ht="31.2" outlineLevel="7">
      <c r="A747" s="2" t="s">
        <v>684</v>
      </c>
      <c r="B747" s="1" t="s">
        <v>568</v>
      </c>
      <c r="C747" s="1" t="s">
        <v>365</v>
      </c>
      <c r="D747" s="1" t="s">
        <v>365</v>
      </c>
      <c r="E747" s="1" t="s">
        <v>683</v>
      </c>
      <c r="F747" s="1" t="s">
        <v>16</v>
      </c>
      <c r="G747" s="1"/>
      <c r="H747" s="1"/>
      <c r="I747" s="1"/>
      <c r="J747" s="1"/>
      <c r="K747" s="1"/>
      <c r="L747" s="41">
        <f>L748</f>
        <v>180</v>
      </c>
      <c r="M747" s="41">
        <f>M748</f>
        <v>180</v>
      </c>
      <c r="N747" s="46">
        <f t="shared" si="42"/>
        <v>100</v>
      </c>
    </row>
    <row r="748" spans="1:14" ht="46.8" outlineLevel="7">
      <c r="A748" s="2" t="s">
        <v>41</v>
      </c>
      <c r="B748" s="1" t="s">
        <v>568</v>
      </c>
      <c r="C748" s="1" t="s">
        <v>365</v>
      </c>
      <c r="D748" s="1" t="s">
        <v>365</v>
      </c>
      <c r="E748" s="1" t="s">
        <v>683</v>
      </c>
      <c r="F748" s="1" t="s">
        <v>42</v>
      </c>
      <c r="G748" s="1"/>
      <c r="H748" s="1"/>
      <c r="I748" s="1"/>
      <c r="J748" s="1"/>
      <c r="K748" s="1"/>
      <c r="L748" s="41">
        <v>180</v>
      </c>
      <c r="M748" s="41">
        <v>180</v>
      </c>
      <c r="N748" s="46">
        <f t="shared" si="42"/>
        <v>100</v>
      </c>
    </row>
    <row r="749" spans="1:14" ht="46.8" outlineLevel="4">
      <c r="A749" s="2" t="s">
        <v>571</v>
      </c>
      <c r="B749" s="1" t="s">
        <v>568</v>
      </c>
      <c r="C749" s="1" t="s">
        <v>365</v>
      </c>
      <c r="D749" s="1" t="s">
        <v>365</v>
      </c>
      <c r="E749" s="1" t="s">
        <v>572</v>
      </c>
      <c r="F749" s="1" t="s">
        <v>16</v>
      </c>
      <c r="G749" s="1"/>
      <c r="H749" s="1"/>
      <c r="I749" s="1"/>
      <c r="J749" s="1"/>
      <c r="K749" s="1"/>
      <c r="L749" s="41">
        <f>L750</f>
        <v>160</v>
      </c>
      <c r="M749" s="41">
        <f>M750</f>
        <v>160</v>
      </c>
      <c r="N749" s="46">
        <f t="shared" si="42"/>
        <v>100</v>
      </c>
    </row>
    <row r="750" spans="1:14" ht="46.8" outlineLevel="5">
      <c r="A750" s="2" t="s">
        <v>281</v>
      </c>
      <c r="B750" s="1" t="s">
        <v>568</v>
      </c>
      <c r="C750" s="1" t="s">
        <v>365</v>
      </c>
      <c r="D750" s="1" t="s">
        <v>365</v>
      </c>
      <c r="E750" s="1" t="s">
        <v>573</v>
      </c>
      <c r="F750" s="1" t="s">
        <v>16</v>
      </c>
      <c r="G750" s="1"/>
      <c r="H750" s="1"/>
      <c r="I750" s="1"/>
      <c r="J750" s="1"/>
      <c r="K750" s="1"/>
      <c r="L750" s="41">
        <f>L753+L755+L751</f>
        <v>160</v>
      </c>
      <c r="M750" s="41">
        <f>M753+M755+M751</f>
        <v>160</v>
      </c>
      <c r="N750" s="46">
        <f t="shared" si="42"/>
        <v>100</v>
      </c>
    </row>
    <row r="751" spans="1:14" ht="31.2" outlineLevel="5">
      <c r="A751" s="2" t="s">
        <v>684</v>
      </c>
      <c r="B751" s="1" t="s">
        <v>568</v>
      </c>
      <c r="C751" s="1" t="s">
        <v>365</v>
      </c>
      <c r="D751" s="1" t="s">
        <v>365</v>
      </c>
      <c r="E751" s="1" t="s">
        <v>685</v>
      </c>
      <c r="F751" s="1" t="s">
        <v>16</v>
      </c>
      <c r="G751" s="1"/>
      <c r="H751" s="1"/>
      <c r="I751" s="1"/>
      <c r="J751" s="1"/>
      <c r="K751" s="1"/>
      <c r="L751" s="41">
        <f>L752</f>
        <v>10</v>
      </c>
      <c r="M751" s="41">
        <f>M752</f>
        <v>10</v>
      </c>
      <c r="N751" s="46">
        <f t="shared" si="42"/>
        <v>100</v>
      </c>
    </row>
    <row r="752" spans="1:14" ht="62.4" outlineLevel="5">
      <c r="A752" s="2" t="s">
        <v>90</v>
      </c>
      <c r="B752" s="1" t="s">
        <v>568</v>
      </c>
      <c r="C752" s="1" t="s">
        <v>365</v>
      </c>
      <c r="D752" s="1" t="s">
        <v>365</v>
      </c>
      <c r="E752" s="1" t="s">
        <v>685</v>
      </c>
      <c r="F752" s="1" t="s">
        <v>91</v>
      </c>
      <c r="G752" s="1"/>
      <c r="H752" s="1"/>
      <c r="I752" s="1"/>
      <c r="J752" s="1"/>
      <c r="K752" s="1"/>
      <c r="L752" s="41">
        <v>10</v>
      </c>
      <c r="M752" s="41">
        <v>10</v>
      </c>
      <c r="N752" s="46">
        <f t="shared" si="42"/>
        <v>100</v>
      </c>
    </row>
    <row r="753" spans="1:14" ht="109.2" outlineLevel="6">
      <c r="A753" s="2" t="s">
        <v>585</v>
      </c>
      <c r="B753" s="1" t="s">
        <v>568</v>
      </c>
      <c r="C753" s="1" t="s">
        <v>365</v>
      </c>
      <c r="D753" s="1" t="s">
        <v>365</v>
      </c>
      <c r="E753" s="1" t="s">
        <v>586</v>
      </c>
      <c r="F753" s="1" t="s">
        <v>16</v>
      </c>
      <c r="G753" s="1"/>
      <c r="H753" s="1"/>
      <c r="I753" s="1"/>
      <c r="J753" s="1"/>
      <c r="K753" s="1"/>
      <c r="L753" s="41">
        <f>L754</f>
        <v>100</v>
      </c>
      <c r="M753" s="41">
        <f>M754</f>
        <v>100</v>
      </c>
      <c r="N753" s="46">
        <f t="shared" si="42"/>
        <v>100</v>
      </c>
    </row>
    <row r="754" spans="1:14" ht="62.4" outlineLevel="7">
      <c r="A754" s="2" t="s">
        <v>90</v>
      </c>
      <c r="B754" s="1" t="s">
        <v>568</v>
      </c>
      <c r="C754" s="1" t="s">
        <v>365</v>
      </c>
      <c r="D754" s="1" t="s">
        <v>365</v>
      </c>
      <c r="E754" s="1" t="s">
        <v>586</v>
      </c>
      <c r="F754" s="1" t="s">
        <v>91</v>
      </c>
      <c r="G754" s="1"/>
      <c r="H754" s="1"/>
      <c r="I754" s="1"/>
      <c r="J754" s="1"/>
      <c r="K754" s="1"/>
      <c r="L754" s="41">
        <v>100</v>
      </c>
      <c r="M754" s="41">
        <v>100</v>
      </c>
      <c r="N754" s="46">
        <f t="shared" si="42"/>
        <v>100</v>
      </c>
    </row>
    <row r="755" spans="1:14" ht="46.8" outlineLevel="6">
      <c r="A755" s="2" t="s">
        <v>587</v>
      </c>
      <c r="B755" s="1" t="s">
        <v>568</v>
      </c>
      <c r="C755" s="1" t="s">
        <v>365</v>
      </c>
      <c r="D755" s="1" t="s">
        <v>365</v>
      </c>
      <c r="E755" s="1" t="s">
        <v>588</v>
      </c>
      <c r="F755" s="1" t="s">
        <v>16</v>
      </c>
      <c r="G755" s="1"/>
      <c r="H755" s="1"/>
      <c r="I755" s="1"/>
      <c r="J755" s="1"/>
      <c r="K755" s="1"/>
      <c r="L755" s="41">
        <f>L756</f>
        <v>50</v>
      </c>
      <c r="M755" s="41">
        <f>M756</f>
        <v>50</v>
      </c>
      <c r="N755" s="46">
        <f t="shared" ref="N755:N798" si="44">M755/L755*100</f>
        <v>100</v>
      </c>
    </row>
    <row r="756" spans="1:14" ht="62.4" outlineLevel="7">
      <c r="A756" s="2" t="s">
        <v>90</v>
      </c>
      <c r="B756" s="1" t="s">
        <v>568</v>
      </c>
      <c r="C756" s="1" t="s">
        <v>365</v>
      </c>
      <c r="D756" s="1" t="s">
        <v>365</v>
      </c>
      <c r="E756" s="1" t="s">
        <v>588</v>
      </c>
      <c r="F756" s="1" t="s">
        <v>91</v>
      </c>
      <c r="G756" s="1"/>
      <c r="H756" s="1"/>
      <c r="I756" s="1"/>
      <c r="J756" s="1"/>
      <c r="K756" s="1"/>
      <c r="L756" s="41">
        <v>50</v>
      </c>
      <c r="M756" s="41">
        <v>50</v>
      </c>
      <c r="N756" s="46">
        <f t="shared" si="44"/>
        <v>100</v>
      </c>
    </row>
    <row r="757" spans="1:14" ht="15.6" outlineLevel="2">
      <c r="A757" s="5" t="s">
        <v>460</v>
      </c>
      <c r="B757" s="6" t="s">
        <v>568</v>
      </c>
      <c r="C757" s="6" t="s">
        <v>365</v>
      </c>
      <c r="D757" s="6" t="s">
        <v>171</v>
      </c>
      <c r="E757" s="6"/>
      <c r="F757" s="6"/>
      <c r="G757" s="6"/>
      <c r="H757" s="6"/>
      <c r="I757" s="6"/>
      <c r="J757" s="6"/>
      <c r="K757" s="6"/>
      <c r="L757" s="40">
        <f t="shared" ref="L757:M759" si="45">L758</f>
        <v>3276.1</v>
      </c>
      <c r="M757" s="40">
        <f t="shared" si="45"/>
        <v>3275.8120800000002</v>
      </c>
      <c r="N757" s="47">
        <f t="shared" si="44"/>
        <v>99.991211501480421</v>
      </c>
    </row>
    <row r="758" spans="1:14" ht="31.2" outlineLevel="3">
      <c r="A758" s="2" t="s">
        <v>569</v>
      </c>
      <c r="B758" s="1" t="s">
        <v>568</v>
      </c>
      <c r="C758" s="1" t="s">
        <v>365</v>
      </c>
      <c r="D758" s="1" t="s">
        <v>171</v>
      </c>
      <c r="E758" s="1" t="s">
        <v>570</v>
      </c>
      <c r="F758" s="1" t="s">
        <v>16</v>
      </c>
      <c r="G758" s="1"/>
      <c r="H758" s="1"/>
      <c r="I758" s="1"/>
      <c r="J758" s="1"/>
      <c r="K758" s="1"/>
      <c r="L758" s="41">
        <f t="shared" si="45"/>
        <v>3276.1</v>
      </c>
      <c r="M758" s="41">
        <f t="shared" si="45"/>
        <v>3275.8120800000002</v>
      </c>
      <c r="N758" s="46">
        <f t="shared" si="44"/>
        <v>99.991211501480421</v>
      </c>
    </row>
    <row r="759" spans="1:14" ht="31.2" outlineLevel="4">
      <c r="A759" s="2" t="s">
        <v>577</v>
      </c>
      <c r="B759" s="1" t="s">
        <v>568</v>
      </c>
      <c r="C759" s="1" t="s">
        <v>365</v>
      </c>
      <c r="D759" s="1" t="s">
        <v>171</v>
      </c>
      <c r="E759" s="1" t="s">
        <v>578</v>
      </c>
      <c r="F759" s="1" t="s">
        <v>16</v>
      </c>
      <c r="G759" s="1"/>
      <c r="H759" s="1"/>
      <c r="I759" s="1"/>
      <c r="J759" s="1"/>
      <c r="K759" s="1"/>
      <c r="L759" s="41">
        <f t="shared" si="45"/>
        <v>3276.1</v>
      </c>
      <c r="M759" s="41">
        <f t="shared" si="45"/>
        <v>3275.8120800000002</v>
      </c>
      <c r="N759" s="46">
        <f t="shared" si="44"/>
        <v>99.991211501480421</v>
      </c>
    </row>
    <row r="760" spans="1:14" ht="46.8" outlineLevel="5">
      <c r="A760" s="2" t="s">
        <v>69</v>
      </c>
      <c r="B760" s="1" t="s">
        <v>568</v>
      </c>
      <c r="C760" s="1" t="s">
        <v>365</v>
      </c>
      <c r="D760" s="1" t="s">
        <v>171</v>
      </c>
      <c r="E760" s="1" t="s">
        <v>589</v>
      </c>
      <c r="F760" s="1" t="s">
        <v>16</v>
      </c>
      <c r="G760" s="1"/>
      <c r="H760" s="1"/>
      <c r="I760" s="1"/>
      <c r="J760" s="1"/>
      <c r="K760" s="1"/>
      <c r="L760" s="41">
        <f>L761+L763+L766</f>
        <v>3276.1</v>
      </c>
      <c r="M760" s="41">
        <f>M761+M763+M766</f>
        <v>3275.8120800000002</v>
      </c>
      <c r="N760" s="46">
        <f t="shared" si="44"/>
        <v>99.991211501480421</v>
      </c>
    </row>
    <row r="761" spans="1:14" ht="31.2" outlineLevel="6">
      <c r="A761" s="2" t="s">
        <v>33</v>
      </c>
      <c r="B761" s="1" t="s">
        <v>568</v>
      </c>
      <c r="C761" s="1" t="s">
        <v>365</v>
      </c>
      <c r="D761" s="1" t="s">
        <v>171</v>
      </c>
      <c r="E761" s="1" t="s">
        <v>590</v>
      </c>
      <c r="F761" s="1" t="s">
        <v>16</v>
      </c>
      <c r="G761" s="1"/>
      <c r="H761" s="1"/>
      <c r="I761" s="1"/>
      <c r="J761" s="1"/>
      <c r="K761" s="1"/>
      <c r="L761" s="41">
        <f>L762</f>
        <v>2386.8000000000002</v>
      </c>
      <c r="M761" s="41">
        <f>M762</f>
        <v>2386.7615900000001</v>
      </c>
      <c r="N761" s="46">
        <f t="shared" si="44"/>
        <v>99.998390732361315</v>
      </c>
    </row>
    <row r="762" spans="1:14" ht="109.2" outlineLevel="7">
      <c r="A762" s="2" t="s">
        <v>29</v>
      </c>
      <c r="B762" s="1" t="s">
        <v>568</v>
      </c>
      <c r="C762" s="1" t="s">
        <v>365</v>
      </c>
      <c r="D762" s="1" t="s">
        <v>171</v>
      </c>
      <c r="E762" s="1" t="s">
        <v>590</v>
      </c>
      <c r="F762" s="1" t="s">
        <v>30</v>
      </c>
      <c r="G762" s="1"/>
      <c r="H762" s="1"/>
      <c r="I762" s="1"/>
      <c r="J762" s="1"/>
      <c r="K762" s="1"/>
      <c r="L762" s="41">
        <f>2136.8+250</f>
        <v>2386.8000000000002</v>
      </c>
      <c r="M762" s="44">
        <v>2386.7615900000001</v>
      </c>
      <c r="N762" s="46">
        <f t="shared" si="44"/>
        <v>99.998390732361315</v>
      </c>
    </row>
    <row r="763" spans="1:14" ht="31.2" outlineLevel="6">
      <c r="A763" s="2" t="s">
        <v>35</v>
      </c>
      <c r="B763" s="1" t="s">
        <v>568</v>
      </c>
      <c r="C763" s="1" t="s">
        <v>365</v>
      </c>
      <c r="D763" s="1" t="s">
        <v>171</v>
      </c>
      <c r="E763" s="1" t="s">
        <v>591</v>
      </c>
      <c r="F763" s="1" t="s">
        <v>16</v>
      </c>
      <c r="G763" s="1"/>
      <c r="H763" s="1"/>
      <c r="I763" s="1"/>
      <c r="J763" s="1"/>
      <c r="K763" s="1"/>
      <c r="L763" s="41">
        <f>L764+L765</f>
        <v>15.6</v>
      </c>
      <c r="M763" s="41">
        <f>M764+M765</f>
        <v>15.3505</v>
      </c>
      <c r="N763" s="46">
        <f t="shared" si="44"/>
        <v>98.400641025641036</v>
      </c>
    </row>
    <row r="764" spans="1:14" ht="46.8" outlineLevel="7">
      <c r="A764" s="2" t="s">
        <v>41</v>
      </c>
      <c r="B764" s="1" t="s">
        <v>568</v>
      </c>
      <c r="C764" s="1" t="s">
        <v>365</v>
      </c>
      <c r="D764" s="1" t="s">
        <v>171</v>
      </c>
      <c r="E764" s="1" t="s">
        <v>591</v>
      </c>
      <c r="F764" s="1" t="s">
        <v>42</v>
      </c>
      <c r="G764" s="1"/>
      <c r="H764" s="1"/>
      <c r="I764" s="1"/>
      <c r="J764" s="1"/>
      <c r="K764" s="1"/>
      <c r="L764" s="41">
        <f>7.6+7</f>
        <v>14.6</v>
      </c>
      <c r="M764" s="44">
        <v>14.5875</v>
      </c>
      <c r="N764" s="46">
        <f t="shared" si="44"/>
        <v>99.914383561643831</v>
      </c>
    </row>
    <row r="765" spans="1:14" ht="15.6" outlineLevel="7">
      <c r="A765" s="2" t="s">
        <v>59</v>
      </c>
      <c r="B765" s="1" t="s">
        <v>568</v>
      </c>
      <c r="C765" s="1" t="s">
        <v>365</v>
      </c>
      <c r="D765" s="1" t="s">
        <v>171</v>
      </c>
      <c r="E765" s="1" t="s">
        <v>591</v>
      </c>
      <c r="F765" s="1" t="s">
        <v>60</v>
      </c>
      <c r="G765" s="1"/>
      <c r="H765" s="1"/>
      <c r="I765" s="1"/>
      <c r="J765" s="1"/>
      <c r="K765" s="1"/>
      <c r="L765" s="41">
        <f>8-7</f>
        <v>1</v>
      </c>
      <c r="M765" s="44">
        <v>0.76300000000000001</v>
      </c>
      <c r="N765" s="46">
        <f t="shared" si="44"/>
        <v>76.3</v>
      </c>
    </row>
    <row r="766" spans="1:14" ht="31.2" outlineLevel="6">
      <c r="A766" s="2" t="s">
        <v>61</v>
      </c>
      <c r="B766" s="1" t="s">
        <v>568</v>
      </c>
      <c r="C766" s="1" t="s">
        <v>365</v>
      </c>
      <c r="D766" s="1" t="s">
        <v>171</v>
      </c>
      <c r="E766" s="1" t="s">
        <v>592</v>
      </c>
      <c r="F766" s="1" t="s">
        <v>16</v>
      </c>
      <c r="G766" s="1"/>
      <c r="H766" s="1"/>
      <c r="I766" s="1"/>
      <c r="J766" s="1"/>
      <c r="K766" s="1"/>
      <c r="L766" s="41">
        <f>L767+L768</f>
        <v>873.69999999999993</v>
      </c>
      <c r="M766" s="41">
        <f>M767+M768</f>
        <v>873.69998999999996</v>
      </c>
      <c r="N766" s="46">
        <f t="shared" si="44"/>
        <v>99.999998855442371</v>
      </c>
    </row>
    <row r="767" spans="1:14" ht="109.2" outlineLevel="7">
      <c r="A767" s="2" t="s">
        <v>29</v>
      </c>
      <c r="B767" s="1" t="s">
        <v>568</v>
      </c>
      <c r="C767" s="1" t="s">
        <v>365</v>
      </c>
      <c r="D767" s="1" t="s">
        <v>171</v>
      </c>
      <c r="E767" s="1" t="s">
        <v>592</v>
      </c>
      <c r="F767" s="1" t="s">
        <v>30</v>
      </c>
      <c r="G767" s="1"/>
      <c r="H767" s="1"/>
      <c r="I767" s="1"/>
      <c r="J767" s="1"/>
      <c r="K767" s="1"/>
      <c r="L767" s="41">
        <v>851.3</v>
      </c>
      <c r="M767" s="41">
        <v>851.29998999999998</v>
      </c>
      <c r="N767" s="46">
        <f t="shared" si="44"/>
        <v>99.999998825325974</v>
      </c>
    </row>
    <row r="768" spans="1:14" ht="46.8" outlineLevel="7">
      <c r="A768" s="2" t="s">
        <v>41</v>
      </c>
      <c r="B768" s="1" t="s">
        <v>568</v>
      </c>
      <c r="C768" s="1" t="s">
        <v>365</v>
      </c>
      <c r="D768" s="1" t="s">
        <v>171</v>
      </c>
      <c r="E768" s="1" t="s">
        <v>592</v>
      </c>
      <c r="F768" s="1" t="s">
        <v>42</v>
      </c>
      <c r="G768" s="1"/>
      <c r="H768" s="1"/>
      <c r="I768" s="1"/>
      <c r="J768" s="1"/>
      <c r="K768" s="1"/>
      <c r="L768" s="41">
        <v>22.4</v>
      </c>
      <c r="M768" s="41">
        <v>22.4</v>
      </c>
      <c r="N768" s="46">
        <f t="shared" si="44"/>
        <v>100</v>
      </c>
    </row>
    <row r="769" spans="1:14" ht="31.2">
      <c r="A769" s="3" t="s">
        <v>593</v>
      </c>
      <c r="B769" s="4" t="s">
        <v>594</v>
      </c>
      <c r="C769" s="4"/>
      <c r="D769" s="4"/>
      <c r="E769" s="4"/>
      <c r="F769" s="4"/>
      <c r="G769" s="4"/>
      <c r="H769" s="4"/>
      <c r="I769" s="4"/>
      <c r="J769" s="4"/>
      <c r="K769" s="4"/>
      <c r="L769" s="39">
        <f>L770+L791</f>
        <v>11239.599999999999</v>
      </c>
      <c r="M769" s="39">
        <f>M770+M791</f>
        <v>10012.008999999998</v>
      </c>
      <c r="N769" s="49">
        <f t="shared" si="44"/>
        <v>89.077983202249186</v>
      </c>
    </row>
    <row r="770" spans="1:14" ht="15.6" outlineLevel="1">
      <c r="A770" s="3" t="s">
        <v>17</v>
      </c>
      <c r="B770" s="4" t="s">
        <v>594</v>
      </c>
      <c r="C770" s="4" t="s">
        <v>18</v>
      </c>
      <c r="D770" s="4"/>
      <c r="E770" s="4"/>
      <c r="F770" s="4"/>
      <c r="G770" s="4"/>
      <c r="H770" s="4"/>
      <c r="I770" s="4"/>
      <c r="J770" s="4"/>
      <c r="K770" s="4"/>
      <c r="L770" s="39">
        <f>L771+L780+L786</f>
        <v>10710.8</v>
      </c>
      <c r="M770" s="39">
        <f>M771+M780+M786</f>
        <v>9493.4093099999991</v>
      </c>
      <c r="N770" s="49">
        <f t="shared" si="44"/>
        <v>88.633989151137172</v>
      </c>
    </row>
    <row r="771" spans="1:14" ht="62.4" outlineLevel="2">
      <c r="A771" s="5" t="s">
        <v>595</v>
      </c>
      <c r="B771" s="6" t="s">
        <v>594</v>
      </c>
      <c r="C771" s="6" t="s">
        <v>18</v>
      </c>
      <c r="D771" s="6" t="s">
        <v>141</v>
      </c>
      <c r="E771" s="6"/>
      <c r="F771" s="6"/>
      <c r="G771" s="6"/>
      <c r="H771" s="6"/>
      <c r="I771" s="6"/>
      <c r="J771" s="6"/>
      <c r="K771" s="6"/>
      <c r="L771" s="40">
        <f>L772</f>
        <v>9883</v>
      </c>
      <c r="M771" s="40">
        <f>M772</f>
        <v>9493.4093099999991</v>
      </c>
      <c r="N771" s="47">
        <f t="shared" si="44"/>
        <v>96.057971364970143</v>
      </c>
    </row>
    <row r="772" spans="1:14" ht="62.4" outlineLevel="3">
      <c r="A772" s="2" t="s">
        <v>192</v>
      </c>
      <c r="B772" s="1" t="s">
        <v>594</v>
      </c>
      <c r="C772" s="1" t="s">
        <v>18</v>
      </c>
      <c r="D772" s="1" t="s">
        <v>141</v>
      </c>
      <c r="E772" s="1" t="s">
        <v>434</v>
      </c>
      <c r="F772" s="1" t="s">
        <v>16</v>
      </c>
      <c r="G772" s="1"/>
      <c r="H772" s="1"/>
      <c r="I772" s="1"/>
      <c r="J772" s="1"/>
      <c r="K772" s="1"/>
      <c r="L772" s="41">
        <f>L773</f>
        <v>9883</v>
      </c>
      <c r="M772" s="41">
        <f>M773</f>
        <v>9493.4093099999991</v>
      </c>
      <c r="N772" s="46">
        <f t="shared" si="44"/>
        <v>96.057971364970143</v>
      </c>
    </row>
    <row r="773" spans="1:14" ht="46.8" outlineLevel="4">
      <c r="A773" s="2" t="s">
        <v>596</v>
      </c>
      <c r="B773" s="1" t="s">
        <v>594</v>
      </c>
      <c r="C773" s="1" t="s">
        <v>18</v>
      </c>
      <c r="D773" s="1" t="s">
        <v>141</v>
      </c>
      <c r="E773" s="1" t="s">
        <v>597</v>
      </c>
      <c r="F773" s="1" t="s">
        <v>16</v>
      </c>
      <c r="G773" s="1"/>
      <c r="H773" s="1"/>
      <c r="I773" s="1"/>
      <c r="J773" s="1"/>
      <c r="K773" s="1"/>
      <c r="L773" s="41">
        <f>L774+L777</f>
        <v>9883</v>
      </c>
      <c r="M773" s="41">
        <f>M774+M777</f>
        <v>9493.4093099999991</v>
      </c>
      <c r="N773" s="46">
        <f t="shared" si="44"/>
        <v>96.057971364970143</v>
      </c>
    </row>
    <row r="774" spans="1:14" ht="62.4" outlineLevel="5">
      <c r="A774" s="2" t="s">
        <v>598</v>
      </c>
      <c r="B774" s="1" t="s">
        <v>594</v>
      </c>
      <c r="C774" s="1" t="s">
        <v>18</v>
      </c>
      <c r="D774" s="1" t="s">
        <v>141</v>
      </c>
      <c r="E774" s="1" t="s">
        <v>599</v>
      </c>
      <c r="F774" s="1" t="s">
        <v>16</v>
      </c>
      <c r="G774" s="1"/>
      <c r="H774" s="1"/>
      <c r="I774" s="1"/>
      <c r="J774" s="1"/>
      <c r="K774" s="1"/>
      <c r="L774" s="41">
        <f>L775</f>
        <v>9422</v>
      </c>
      <c r="M774" s="41">
        <f>M775</f>
        <v>9041.6106999999993</v>
      </c>
      <c r="N774" s="46">
        <f t="shared" si="44"/>
        <v>95.962754192315842</v>
      </c>
    </row>
    <row r="775" spans="1:14" ht="31.2" outlineLevel="6">
      <c r="A775" s="2" t="s">
        <v>33</v>
      </c>
      <c r="B775" s="1" t="s">
        <v>594</v>
      </c>
      <c r="C775" s="1" t="s">
        <v>18</v>
      </c>
      <c r="D775" s="1" t="s">
        <v>141</v>
      </c>
      <c r="E775" s="1" t="s">
        <v>600</v>
      </c>
      <c r="F775" s="1" t="s">
        <v>16</v>
      </c>
      <c r="G775" s="1"/>
      <c r="H775" s="1"/>
      <c r="I775" s="1"/>
      <c r="J775" s="1"/>
      <c r="K775" s="1"/>
      <c r="L775" s="41">
        <f>L776</f>
        <v>9422</v>
      </c>
      <c r="M775" s="41">
        <f>M776</f>
        <v>9041.6106999999993</v>
      </c>
      <c r="N775" s="46">
        <f t="shared" si="44"/>
        <v>95.962754192315842</v>
      </c>
    </row>
    <row r="776" spans="1:14" ht="109.2" outlineLevel="7">
      <c r="A776" s="2" t="s">
        <v>29</v>
      </c>
      <c r="B776" s="1" t="s">
        <v>594</v>
      </c>
      <c r="C776" s="1" t="s">
        <v>18</v>
      </c>
      <c r="D776" s="1" t="s">
        <v>141</v>
      </c>
      <c r="E776" s="1" t="s">
        <v>600</v>
      </c>
      <c r="F776" s="1" t="s">
        <v>30</v>
      </c>
      <c r="G776" s="1"/>
      <c r="H776" s="1"/>
      <c r="I776" s="1"/>
      <c r="J776" s="1"/>
      <c r="K776" s="1"/>
      <c r="L776" s="41">
        <f>9424-2</f>
        <v>9422</v>
      </c>
      <c r="M776" s="44">
        <v>9041.6106999999993</v>
      </c>
      <c r="N776" s="46">
        <f t="shared" si="44"/>
        <v>95.962754192315842</v>
      </c>
    </row>
    <row r="777" spans="1:14" ht="31.2" outlineLevel="6">
      <c r="A777" s="2" t="s">
        <v>35</v>
      </c>
      <c r="B777" s="1" t="s">
        <v>594</v>
      </c>
      <c r="C777" s="1" t="s">
        <v>18</v>
      </c>
      <c r="D777" s="1" t="s">
        <v>141</v>
      </c>
      <c r="E777" s="1" t="s">
        <v>601</v>
      </c>
      <c r="F777" s="1" t="s">
        <v>16</v>
      </c>
      <c r="G777" s="1"/>
      <c r="H777" s="1"/>
      <c r="I777" s="1"/>
      <c r="J777" s="1"/>
      <c r="K777" s="1"/>
      <c r="L777" s="41">
        <f>L778+L779</f>
        <v>461</v>
      </c>
      <c r="M777" s="41">
        <f>M778+M779</f>
        <v>451.79861000000005</v>
      </c>
      <c r="N777" s="46">
        <f t="shared" si="44"/>
        <v>98.004036876355755</v>
      </c>
    </row>
    <row r="778" spans="1:14" ht="46.8" outlineLevel="7">
      <c r="A778" s="2" t="s">
        <v>41</v>
      </c>
      <c r="B778" s="1" t="s">
        <v>594</v>
      </c>
      <c r="C778" s="1" t="s">
        <v>18</v>
      </c>
      <c r="D778" s="1" t="s">
        <v>141</v>
      </c>
      <c r="E778" s="1" t="s">
        <v>601</v>
      </c>
      <c r="F778" s="1" t="s">
        <v>42</v>
      </c>
      <c r="G778" s="1"/>
      <c r="H778" s="1"/>
      <c r="I778" s="1"/>
      <c r="J778" s="1"/>
      <c r="K778" s="1"/>
      <c r="L778" s="41">
        <f>453+7.6</f>
        <v>460.6</v>
      </c>
      <c r="M778" s="44">
        <v>451.45361000000003</v>
      </c>
      <c r="N778" s="46">
        <f t="shared" si="44"/>
        <v>98.014244463742955</v>
      </c>
    </row>
    <row r="779" spans="1:14" ht="15.6" outlineLevel="7">
      <c r="A779" s="2" t="s">
        <v>59</v>
      </c>
      <c r="B779" s="1" t="s">
        <v>594</v>
      </c>
      <c r="C779" s="1" t="s">
        <v>18</v>
      </c>
      <c r="D779" s="1" t="s">
        <v>141</v>
      </c>
      <c r="E779" s="1" t="s">
        <v>601</v>
      </c>
      <c r="F779" s="1" t="s">
        <v>60</v>
      </c>
      <c r="G779" s="1"/>
      <c r="H779" s="1"/>
      <c r="I779" s="1"/>
      <c r="J779" s="1"/>
      <c r="K779" s="1"/>
      <c r="L779" s="41">
        <f>6-5.6</f>
        <v>0.40000000000000036</v>
      </c>
      <c r="M779" s="44">
        <v>0.34499999999999997</v>
      </c>
      <c r="N779" s="46">
        <f t="shared" si="44"/>
        <v>86.249999999999915</v>
      </c>
    </row>
    <row r="780" spans="1:14" ht="15.6" outlineLevel="2">
      <c r="A780" s="5" t="s">
        <v>602</v>
      </c>
      <c r="B780" s="6" t="s">
        <v>594</v>
      </c>
      <c r="C780" s="6" t="s">
        <v>18</v>
      </c>
      <c r="D780" s="6" t="s">
        <v>466</v>
      </c>
      <c r="E780" s="6"/>
      <c r="F780" s="6"/>
      <c r="G780" s="6"/>
      <c r="H780" s="6"/>
      <c r="I780" s="6"/>
      <c r="J780" s="6"/>
      <c r="K780" s="6"/>
      <c r="L780" s="40">
        <f t="shared" ref="L780:M784" si="46">L781</f>
        <v>470</v>
      </c>
      <c r="M780" s="40">
        <f t="shared" si="46"/>
        <v>0</v>
      </c>
      <c r="N780" s="47">
        <f t="shared" si="44"/>
        <v>0</v>
      </c>
    </row>
    <row r="781" spans="1:14" ht="62.4" outlineLevel="3">
      <c r="A781" s="2" t="s">
        <v>192</v>
      </c>
      <c r="B781" s="1" t="s">
        <v>594</v>
      </c>
      <c r="C781" s="1" t="s">
        <v>18</v>
      </c>
      <c r="D781" s="1" t="s">
        <v>466</v>
      </c>
      <c r="E781" s="1" t="s">
        <v>434</v>
      </c>
      <c r="F781" s="1" t="s">
        <v>16</v>
      </c>
      <c r="G781" s="1"/>
      <c r="H781" s="1"/>
      <c r="I781" s="1"/>
      <c r="J781" s="1"/>
      <c r="K781" s="1"/>
      <c r="L781" s="41">
        <f t="shared" si="46"/>
        <v>470</v>
      </c>
      <c r="M781" s="41">
        <f t="shared" si="46"/>
        <v>0</v>
      </c>
      <c r="N781" s="46">
        <f t="shared" si="44"/>
        <v>0</v>
      </c>
    </row>
    <row r="782" spans="1:14" ht="46.8" outlineLevel="4">
      <c r="A782" s="2" t="s">
        <v>596</v>
      </c>
      <c r="B782" s="1" t="s">
        <v>594</v>
      </c>
      <c r="C782" s="1" t="s">
        <v>18</v>
      </c>
      <c r="D782" s="1" t="s">
        <v>466</v>
      </c>
      <c r="E782" s="1" t="s">
        <v>597</v>
      </c>
      <c r="F782" s="1" t="s">
        <v>16</v>
      </c>
      <c r="G782" s="1"/>
      <c r="H782" s="1"/>
      <c r="I782" s="1"/>
      <c r="J782" s="1"/>
      <c r="K782" s="1"/>
      <c r="L782" s="41">
        <f t="shared" si="46"/>
        <v>470</v>
      </c>
      <c r="M782" s="41">
        <f t="shared" si="46"/>
        <v>0</v>
      </c>
      <c r="N782" s="46">
        <f t="shared" si="44"/>
        <v>0</v>
      </c>
    </row>
    <row r="783" spans="1:14" ht="46.8" outlineLevel="5">
      <c r="A783" s="2" t="s">
        <v>603</v>
      </c>
      <c r="B783" s="1" t="s">
        <v>594</v>
      </c>
      <c r="C783" s="1" t="s">
        <v>18</v>
      </c>
      <c r="D783" s="1" t="s">
        <v>466</v>
      </c>
      <c r="E783" s="1" t="s">
        <v>604</v>
      </c>
      <c r="F783" s="1" t="s">
        <v>16</v>
      </c>
      <c r="G783" s="1"/>
      <c r="H783" s="1"/>
      <c r="I783" s="1"/>
      <c r="J783" s="1"/>
      <c r="K783" s="1"/>
      <c r="L783" s="41">
        <f t="shared" si="46"/>
        <v>470</v>
      </c>
      <c r="M783" s="41">
        <f t="shared" si="46"/>
        <v>0</v>
      </c>
      <c r="N783" s="46">
        <f t="shared" si="44"/>
        <v>0</v>
      </c>
    </row>
    <row r="784" spans="1:14" ht="46.8" outlineLevel="6">
      <c r="A784" s="2" t="s">
        <v>605</v>
      </c>
      <c r="B784" s="1" t="s">
        <v>594</v>
      </c>
      <c r="C784" s="1" t="s">
        <v>18</v>
      </c>
      <c r="D784" s="1" t="s">
        <v>466</v>
      </c>
      <c r="E784" s="1" t="s">
        <v>606</v>
      </c>
      <c r="F784" s="1" t="s">
        <v>16</v>
      </c>
      <c r="G784" s="1"/>
      <c r="H784" s="1"/>
      <c r="I784" s="1"/>
      <c r="J784" s="1"/>
      <c r="K784" s="1"/>
      <c r="L784" s="41">
        <f t="shared" si="46"/>
        <v>470</v>
      </c>
      <c r="M784" s="41">
        <f t="shared" si="46"/>
        <v>0</v>
      </c>
      <c r="N784" s="46">
        <f t="shared" si="44"/>
        <v>0</v>
      </c>
    </row>
    <row r="785" spans="1:21" ht="15.6" outlineLevel="7">
      <c r="A785" s="2" t="s">
        <v>59</v>
      </c>
      <c r="B785" s="1" t="s">
        <v>594</v>
      </c>
      <c r="C785" s="1" t="s">
        <v>18</v>
      </c>
      <c r="D785" s="1" t="s">
        <v>466</v>
      </c>
      <c r="E785" s="1" t="s">
        <v>606</v>
      </c>
      <c r="F785" s="1" t="s">
        <v>60</v>
      </c>
      <c r="G785" s="1"/>
      <c r="H785" s="1"/>
      <c r="I785" s="1"/>
      <c r="J785" s="1"/>
      <c r="K785" s="1"/>
      <c r="L785" s="41">
        <v>470</v>
      </c>
      <c r="M785" s="44">
        <v>0</v>
      </c>
      <c r="N785" s="46">
        <f t="shared" si="44"/>
        <v>0</v>
      </c>
    </row>
    <row r="786" spans="1:21" ht="15.6" outlineLevel="2">
      <c r="A786" s="5" t="s">
        <v>49</v>
      </c>
      <c r="B786" s="6" t="s">
        <v>594</v>
      </c>
      <c r="C786" s="6" t="s">
        <v>18</v>
      </c>
      <c r="D786" s="6" t="s">
        <v>50</v>
      </c>
      <c r="E786" s="6"/>
      <c r="F786" s="6"/>
      <c r="G786" s="6"/>
      <c r="H786" s="6"/>
      <c r="I786" s="6"/>
      <c r="J786" s="6"/>
      <c r="K786" s="6"/>
      <c r="L786" s="40">
        <f t="shared" ref="L786:M789" si="47">L787</f>
        <v>357.8</v>
      </c>
      <c r="M786" s="40">
        <f t="shared" si="47"/>
        <v>0</v>
      </c>
      <c r="N786" s="47">
        <f t="shared" si="44"/>
        <v>0</v>
      </c>
    </row>
    <row r="787" spans="1:21" ht="31.2" outlineLevel="3">
      <c r="A787" s="2" t="s">
        <v>158</v>
      </c>
      <c r="B787" s="1" t="s">
        <v>594</v>
      </c>
      <c r="C787" s="1" t="s">
        <v>18</v>
      </c>
      <c r="D787" s="1" t="s">
        <v>50</v>
      </c>
      <c r="E787" s="1" t="s">
        <v>159</v>
      </c>
      <c r="F787" s="1" t="s">
        <v>16</v>
      </c>
      <c r="G787" s="1"/>
      <c r="H787" s="1"/>
      <c r="I787" s="1"/>
      <c r="J787" s="1"/>
      <c r="K787" s="1"/>
      <c r="L787" s="41">
        <f t="shared" si="47"/>
        <v>357.8</v>
      </c>
      <c r="M787" s="41">
        <f t="shared" si="47"/>
        <v>0</v>
      </c>
      <c r="N787" s="46">
        <f t="shared" si="44"/>
        <v>0</v>
      </c>
    </row>
    <row r="788" spans="1:21" ht="15.6" outlineLevel="4">
      <c r="A788" s="2" t="s">
        <v>160</v>
      </c>
      <c r="B788" s="1" t="s">
        <v>594</v>
      </c>
      <c r="C788" s="1" t="s">
        <v>18</v>
      </c>
      <c r="D788" s="1" t="s">
        <v>50</v>
      </c>
      <c r="E788" s="1" t="s">
        <v>161</v>
      </c>
      <c r="F788" s="1" t="s">
        <v>16</v>
      </c>
      <c r="G788" s="1"/>
      <c r="H788" s="1"/>
      <c r="I788" s="1"/>
      <c r="J788" s="1"/>
      <c r="K788" s="1"/>
      <c r="L788" s="41">
        <f t="shared" si="47"/>
        <v>357.8</v>
      </c>
      <c r="M788" s="41">
        <f t="shared" si="47"/>
        <v>0</v>
      </c>
      <c r="N788" s="46">
        <f t="shared" si="44"/>
        <v>0</v>
      </c>
    </row>
    <row r="789" spans="1:21" ht="31.2" outlineLevel="6">
      <c r="A789" s="2" t="s">
        <v>607</v>
      </c>
      <c r="B789" s="1" t="s">
        <v>594</v>
      </c>
      <c r="C789" s="1" t="s">
        <v>18</v>
      </c>
      <c r="D789" s="1" t="s">
        <v>50</v>
      </c>
      <c r="E789" s="1" t="s">
        <v>608</v>
      </c>
      <c r="F789" s="1" t="s">
        <v>16</v>
      </c>
      <c r="G789" s="1"/>
      <c r="H789" s="1"/>
      <c r="I789" s="1"/>
      <c r="J789" s="1"/>
      <c r="K789" s="1"/>
      <c r="L789" s="41">
        <f t="shared" si="47"/>
        <v>357.8</v>
      </c>
      <c r="M789" s="41">
        <f t="shared" si="47"/>
        <v>0</v>
      </c>
      <c r="N789" s="46">
        <f t="shared" si="44"/>
        <v>0</v>
      </c>
    </row>
    <row r="790" spans="1:21" ht="15.6" outlineLevel="7">
      <c r="A790" s="2" t="s">
        <v>59</v>
      </c>
      <c r="B790" s="1" t="s">
        <v>594</v>
      </c>
      <c r="C790" s="1" t="s">
        <v>18</v>
      </c>
      <c r="D790" s="1" t="s">
        <v>50</v>
      </c>
      <c r="E790" s="1" t="s">
        <v>608</v>
      </c>
      <c r="F790" s="1" t="s">
        <v>60</v>
      </c>
      <c r="G790" s="1"/>
      <c r="H790" s="1"/>
      <c r="I790" s="1"/>
      <c r="J790" s="1"/>
      <c r="K790" s="1"/>
      <c r="L790" s="41">
        <f>3000-2332-30-280.2</f>
        <v>357.8</v>
      </c>
      <c r="M790" s="44">
        <v>0</v>
      </c>
      <c r="N790" s="46">
        <f t="shared" si="44"/>
        <v>0</v>
      </c>
    </row>
    <row r="791" spans="1:21" ht="46.8" outlineLevel="1">
      <c r="A791" s="3" t="s">
        <v>609</v>
      </c>
      <c r="B791" s="4" t="s">
        <v>594</v>
      </c>
      <c r="C791" s="4" t="s">
        <v>50</v>
      </c>
      <c r="D791" s="4"/>
      <c r="E791" s="4"/>
      <c r="F791" s="4"/>
      <c r="G791" s="4"/>
      <c r="H791" s="4"/>
      <c r="I791" s="4"/>
      <c r="J791" s="4"/>
      <c r="K791" s="4"/>
      <c r="L791" s="39">
        <f t="shared" ref="L791:M796" si="48">L792</f>
        <v>528.79999999999995</v>
      </c>
      <c r="M791" s="39">
        <f t="shared" si="48"/>
        <v>518.59969000000001</v>
      </c>
      <c r="N791" s="49">
        <f t="shared" si="44"/>
        <v>98.071045763993965</v>
      </c>
    </row>
    <row r="792" spans="1:21" ht="31.2" outlineLevel="2">
      <c r="A792" s="5" t="s">
        <v>610</v>
      </c>
      <c r="B792" s="6" t="s">
        <v>594</v>
      </c>
      <c r="C792" s="6" t="s">
        <v>50</v>
      </c>
      <c r="D792" s="6" t="s">
        <v>18</v>
      </c>
      <c r="E792" s="6"/>
      <c r="F792" s="6"/>
      <c r="G792" s="6"/>
      <c r="H792" s="6"/>
      <c r="I792" s="6"/>
      <c r="J792" s="6"/>
      <c r="K792" s="6"/>
      <c r="L792" s="40">
        <f t="shared" si="48"/>
        <v>528.79999999999995</v>
      </c>
      <c r="M792" s="40">
        <f t="shared" si="48"/>
        <v>518.59969000000001</v>
      </c>
      <c r="N792" s="47">
        <f t="shared" si="44"/>
        <v>98.071045763993965</v>
      </c>
    </row>
    <row r="793" spans="1:21" ht="62.4" outlineLevel="3">
      <c r="A793" s="2" t="s">
        <v>192</v>
      </c>
      <c r="B793" s="1" t="s">
        <v>594</v>
      </c>
      <c r="C793" s="1" t="s">
        <v>50</v>
      </c>
      <c r="D793" s="1" t="s">
        <v>18</v>
      </c>
      <c r="E793" s="1" t="s">
        <v>434</v>
      </c>
      <c r="F793" s="1" t="s">
        <v>16</v>
      </c>
      <c r="G793" s="1"/>
      <c r="H793" s="1"/>
      <c r="I793" s="1"/>
      <c r="J793" s="1"/>
      <c r="K793" s="1"/>
      <c r="L793" s="41">
        <f t="shared" si="48"/>
        <v>528.79999999999995</v>
      </c>
      <c r="M793" s="41">
        <f t="shared" si="48"/>
        <v>518.59969000000001</v>
      </c>
      <c r="N793" s="46">
        <f t="shared" si="44"/>
        <v>98.071045763993965</v>
      </c>
    </row>
    <row r="794" spans="1:21" ht="31.2" outlineLevel="4">
      <c r="A794" s="2" t="s">
        <v>611</v>
      </c>
      <c r="B794" s="1" t="s">
        <v>594</v>
      </c>
      <c r="C794" s="1" t="s">
        <v>50</v>
      </c>
      <c r="D794" s="1" t="s">
        <v>18</v>
      </c>
      <c r="E794" s="1" t="s">
        <v>612</v>
      </c>
      <c r="F794" s="1" t="s">
        <v>16</v>
      </c>
      <c r="G794" s="1"/>
      <c r="H794" s="1"/>
      <c r="I794" s="1"/>
      <c r="J794" s="1"/>
      <c r="K794" s="1"/>
      <c r="L794" s="41">
        <f t="shared" si="48"/>
        <v>528.79999999999995</v>
      </c>
      <c r="M794" s="41">
        <f t="shared" si="48"/>
        <v>518.59969000000001</v>
      </c>
      <c r="N794" s="46">
        <f t="shared" si="44"/>
        <v>98.071045763993965</v>
      </c>
    </row>
    <row r="795" spans="1:21" ht="46.8" outlineLevel="5">
      <c r="A795" s="2" t="s">
        <v>0</v>
      </c>
      <c r="B795" s="1" t="s">
        <v>594</v>
      </c>
      <c r="C795" s="1" t="s">
        <v>50</v>
      </c>
      <c r="D795" s="1" t="s">
        <v>18</v>
      </c>
      <c r="E795" s="1" t="s">
        <v>1</v>
      </c>
      <c r="F795" s="1" t="s">
        <v>16</v>
      </c>
      <c r="G795" s="1"/>
      <c r="H795" s="1"/>
      <c r="I795" s="1"/>
      <c r="J795" s="1"/>
      <c r="K795" s="1"/>
      <c r="L795" s="41">
        <f t="shared" si="48"/>
        <v>528.79999999999995</v>
      </c>
      <c r="M795" s="41">
        <f t="shared" si="48"/>
        <v>518.59969000000001</v>
      </c>
      <c r="N795" s="46">
        <f t="shared" si="44"/>
        <v>98.071045763993965</v>
      </c>
    </row>
    <row r="796" spans="1:21" ht="31.2" outlineLevel="6">
      <c r="A796" s="2" t="s">
        <v>2</v>
      </c>
      <c r="B796" s="1" t="s">
        <v>594</v>
      </c>
      <c r="C796" s="1" t="s">
        <v>50</v>
      </c>
      <c r="D796" s="1" t="s">
        <v>18</v>
      </c>
      <c r="E796" s="1" t="s">
        <v>3</v>
      </c>
      <c r="F796" s="1" t="s">
        <v>16</v>
      </c>
      <c r="G796" s="1"/>
      <c r="H796" s="1"/>
      <c r="I796" s="1"/>
      <c r="J796" s="1"/>
      <c r="K796" s="1"/>
      <c r="L796" s="41">
        <f t="shared" si="48"/>
        <v>528.79999999999995</v>
      </c>
      <c r="M796" s="41">
        <f t="shared" si="48"/>
        <v>518.59969000000001</v>
      </c>
      <c r="N796" s="46">
        <f t="shared" si="44"/>
        <v>98.071045763993965</v>
      </c>
    </row>
    <row r="797" spans="1:21" ht="31.2" outlineLevel="7">
      <c r="A797" s="2" t="s">
        <v>4</v>
      </c>
      <c r="B797" s="1" t="s">
        <v>594</v>
      </c>
      <c r="C797" s="1" t="s">
        <v>50</v>
      </c>
      <c r="D797" s="1" t="s">
        <v>18</v>
      </c>
      <c r="E797" s="1" t="s">
        <v>3</v>
      </c>
      <c r="F797" s="1" t="s">
        <v>5</v>
      </c>
      <c r="G797" s="1"/>
      <c r="H797" s="1"/>
      <c r="I797" s="1"/>
      <c r="J797" s="1"/>
      <c r="K797" s="1"/>
      <c r="L797" s="41">
        <f>479+19.8+30</f>
        <v>528.79999999999995</v>
      </c>
      <c r="M797" s="44">
        <v>518.59969000000001</v>
      </c>
      <c r="N797" s="46">
        <f t="shared" si="44"/>
        <v>98.071045763993965</v>
      </c>
    </row>
    <row r="798" spans="1:21" ht="15.6">
      <c r="A798" s="7" t="s">
        <v>372</v>
      </c>
      <c r="B798" s="7"/>
      <c r="C798" s="7"/>
      <c r="D798" s="7"/>
      <c r="E798" s="7"/>
      <c r="F798" s="7"/>
      <c r="G798" s="7"/>
      <c r="H798" s="7"/>
      <c r="I798" s="8"/>
      <c r="J798" s="8"/>
      <c r="K798" s="8"/>
      <c r="L798" s="39">
        <f>L8+L170+L185+L359+L440+L492+L530+L596+L727+L769+L163</f>
        <v>2053301.9150999999</v>
      </c>
      <c r="M798" s="39">
        <f>M8+M170+M185+M359+M440+M492+M530+M596+M727+M769+M163</f>
        <v>1927219.5755000003</v>
      </c>
      <c r="N798" s="49">
        <f t="shared" si="44"/>
        <v>93.859532362348233</v>
      </c>
    </row>
    <row r="799" spans="1:2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51"/>
    </row>
    <row r="800" spans="1:2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1:21" ht="15.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7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1:2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spans="1:21" ht="15.6">
      <c r="A803" s="18"/>
      <c r="B803" s="15"/>
      <c r="C803" s="19"/>
      <c r="D803" s="19"/>
      <c r="E803" s="19"/>
      <c r="F803" s="19"/>
      <c r="G803" s="15"/>
      <c r="H803" s="15"/>
      <c r="I803" s="15"/>
      <c r="J803" s="15"/>
      <c r="K803" s="15"/>
      <c r="L803" s="38"/>
      <c r="M803" s="15"/>
      <c r="N803" s="15"/>
      <c r="O803" s="36"/>
      <c r="P803" s="36"/>
      <c r="Q803" s="15"/>
      <c r="R803" s="15"/>
      <c r="S803" s="15"/>
      <c r="T803" s="15"/>
      <c r="U803" s="15"/>
    </row>
    <row r="804" spans="1:21" ht="15.6">
      <c r="A804" s="18"/>
      <c r="B804" s="15"/>
      <c r="C804" s="9"/>
      <c r="D804" s="9"/>
      <c r="E804" s="19"/>
      <c r="F804" s="19"/>
      <c r="G804" s="15"/>
      <c r="H804" s="15"/>
      <c r="I804" s="15"/>
      <c r="J804" s="15"/>
      <c r="K804" s="15"/>
      <c r="L804" s="30"/>
      <c r="M804" s="15"/>
      <c r="N804" s="15"/>
      <c r="O804" s="36"/>
      <c r="P804" s="15"/>
      <c r="Q804" s="15"/>
      <c r="R804" s="15"/>
      <c r="S804" s="15"/>
      <c r="T804" s="15"/>
      <c r="U804" s="15"/>
    </row>
    <row r="805" spans="1:21" ht="15.6">
      <c r="A805" s="15"/>
      <c r="B805" s="15"/>
      <c r="C805" s="10"/>
      <c r="D805" s="10"/>
      <c r="E805" s="10"/>
      <c r="F805" s="13"/>
      <c r="G805" s="15"/>
      <c r="H805" s="15"/>
      <c r="I805" s="15"/>
      <c r="J805" s="15"/>
      <c r="K805" s="15"/>
      <c r="L805" s="31"/>
      <c r="M805" s="15"/>
      <c r="N805" s="15"/>
      <c r="O805" s="36"/>
      <c r="P805" s="15"/>
      <c r="Q805" s="15"/>
      <c r="R805" s="15"/>
      <c r="S805" s="15"/>
      <c r="T805" s="15"/>
      <c r="U805" s="15"/>
    </row>
    <row r="806" spans="1:21" ht="15.6">
      <c r="A806" s="15"/>
      <c r="B806" s="15"/>
      <c r="C806" s="9"/>
      <c r="D806" s="9"/>
      <c r="E806" s="19"/>
      <c r="F806" s="19"/>
      <c r="G806" s="15"/>
      <c r="H806" s="15"/>
      <c r="I806" s="15"/>
      <c r="J806" s="15"/>
      <c r="K806" s="15"/>
      <c r="L806" s="30"/>
      <c r="M806" s="15"/>
      <c r="N806" s="15"/>
      <c r="O806" s="36"/>
      <c r="P806" s="15"/>
      <c r="Q806" s="15"/>
      <c r="R806" s="15"/>
      <c r="S806" s="15"/>
      <c r="T806" s="15"/>
      <c r="U806" s="15"/>
    </row>
    <row r="807" spans="1:21" ht="15.6">
      <c r="A807" s="15"/>
      <c r="B807" s="15"/>
      <c r="C807" s="10"/>
      <c r="D807" s="10"/>
      <c r="E807" s="10"/>
      <c r="F807" s="10"/>
      <c r="G807" s="15"/>
      <c r="H807" s="15"/>
      <c r="I807" s="15"/>
      <c r="J807" s="15"/>
      <c r="K807" s="15"/>
      <c r="L807" s="31"/>
      <c r="M807" s="15"/>
      <c r="N807" s="15"/>
      <c r="O807" s="36"/>
      <c r="P807" s="15"/>
      <c r="Q807" s="15"/>
      <c r="R807" s="15"/>
      <c r="S807" s="15"/>
      <c r="T807" s="15"/>
      <c r="U807" s="15"/>
    </row>
    <row r="808" spans="1:21" ht="15.6">
      <c r="A808" s="15"/>
      <c r="B808" s="15"/>
      <c r="C808" s="10"/>
      <c r="D808" s="10"/>
      <c r="E808" s="10"/>
      <c r="F808" s="10"/>
      <c r="G808" s="15"/>
      <c r="H808" s="15"/>
      <c r="I808" s="15"/>
      <c r="J808" s="15"/>
      <c r="K808" s="15"/>
      <c r="L808" s="31"/>
      <c r="M808" s="15"/>
      <c r="N808" s="15"/>
      <c r="O808" s="36"/>
      <c r="P808" s="15"/>
      <c r="Q808" s="15"/>
      <c r="R808" s="15"/>
      <c r="S808" s="15"/>
      <c r="T808" s="15"/>
      <c r="U808" s="15"/>
    </row>
    <row r="809" spans="1:21" ht="15.6">
      <c r="A809" s="15"/>
      <c r="B809" s="15"/>
      <c r="C809" s="10"/>
      <c r="D809" s="10"/>
      <c r="E809" s="10"/>
      <c r="F809" s="10"/>
      <c r="G809" s="15"/>
      <c r="H809" s="15"/>
      <c r="I809" s="15"/>
      <c r="J809" s="15"/>
      <c r="K809" s="15"/>
      <c r="L809" s="31"/>
      <c r="M809" s="15"/>
      <c r="N809" s="15"/>
      <c r="O809" s="36"/>
      <c r="P809" s="15"/>
      <c r="Q809" s="15"/>
      <c r="R809" s="15"/>
      <c r="S809" s="15"/>
      <c r="T809" s="15"/>
      <c r="U809" s="15"/>
    </row>
    <row r="810" spans="1:21" ht="15.6">
      <c r="A810" s="15"/>
      <c r="B810" s="15"/>
      <c r="C810" s="10"/>
      <c r="D810" s="10"/>
      <c r="E810" s="10"/>
      <c r="F810" s="10"/>
      <c r="G810" s="15"/>
      <c r="H810" s="15"/>
      <c r="I810" s="15"/>
      <c r="J810" s="15"/>
      <c r="K810" s="15"/>
      <c r="L810" s="31"/>
      <c r="M810" s="15"/>
      <c r="N810" s="15"/>
      <c r="O810" s="36"/>
      <c r="P810" s="15"/>
      <c r="Q810" s="15"/>
      <c r="R810" s="15"/>
      <c r="S810" s="15"/>
      <c r="T810" s="15"/>
      <c r="U810" s="15"/>
    </row>
    <row r="811" spans="1:21" ht="15.6">
      <c r="A811" s="15"/>
      <c r="B811" s="15"/>
      <c r="C811" s="10"/>
      <c r="D811" s="10"/>
      <c r="E811" s="10"/>
      <c r="F811" s="10"/>
      <c r="G811" s="15"/>
      <c r="H811" s="15"/>
      <c r="I811" s="15"/>
      <c r="J811" s="15"/>
      <c r="K811" s="15"/>
      <c r="L811" s="31"/>
      <c r="M811" s="15"/>
      <c r="N811" s="15"/>
      <c r="O811" s="36"/>
      <c r="P811" s="15"/>
      <c r="Q811" s="15"/>
      <c r="R811" s="15"/>
      <c r="S811" s="15"/>
      <c r="T811" s="15"/>
      <c r="U811" s="15"/>
    </row>
    <row r="812" spans="1:21" ht="15.6">
      <c r="A812" s="15"/>
      <c r="B812" s="15"/>
      <c r="C812" s="10"/>
      <c r="D812" s="10"/>
      <c r="E812" s="10"/>
      <c r="F812" s="10"/>
      <c r="G812" s="15"/>
      <c r="H812" s="15"/>
      <c r="I812" s="15"/>
      <c r="J812" s="15"/>
      <c r="K812" s="15"/>
      <c r="L812" s="31"/>
      <c r="M812" s="15"/>
      <c r="N812" s="15"/>
      <c r="O812" s="36"/>
      <c r="P812" s="15"/>
      <c r="Q812" s="15"/>
      <c r="R812" s="15"/>
      <c r="S812" s="15"/>
      <c r="T812" s="15"/>
      <c r="U812" s="15"/>
    </row>
    <row r="813" spans="1:21" ht="15.6">
      <c r="A813" s="15"/>
      <c r="B813" s="15"/>
      <c r="C813" s="9"/>
      <c r="D813" s="9"/>
      <c r="E813" s="19"/>
      <c r="F813" s="19"/>
      <c r="G813" s="13"/>
      <c r="H813" s="13"/>
      <c r="I813" s="13"/>
      <c r="J813" s="13"/>
      <c r="K813" s="13"/>
      <c r="L813" s="30"/>
      <c r="M813" s="15"/>
      <c r="N813" s="15"/>
      <c r="O813" s="36"/>
      <c r="P813" s="36"/>
      <c r="Q813" s="15"/>
      <c r="R813" s="15"/>
      <c r="S813" s="15"/>
      <c r="T813" s="15"/>
      <c r="U813" s="15"/>
    </row>
    <row r="814" spans="1:21" ht="15.6">
      <c r="A814" s="15"/>
      <c r="B814" s="15"/>
      <c r="C814" s="10"/>
      <c r="D814" s="10"/>
      <c r="E814" s="10"/>
      <c r="F814" s="10"/>
      <c r="G814" s="13"/>
      <c r="H814" s="13"/>
      <c r="I814" s="13"/>
      <c r="J814" s="13"/>
      <c r="K814" s="13"/>
      <c r="L814" s="31"/>
      <c r="M814" s="15"/>
      <c r="N814" s="15"/>
      <c r="O814" s="36"/>
      <c r="P814" s="15"/>
      <c r="Q814" s="15"/>
      <c r="R814" s="15"/>
      <c r="S814" s="15"/>
      <c r="T814" s="15"/>
      <c r="U814" s="15"/>
    </row>
    <row r="815" spans="1:21" ht="15.6">
      <c r="A815" s="15"/>
      <c r="B815" s="15"/>
      <c r="C815" s="10"/>
      <c r="D815" s="10"/>
      <c r="E815" s="10"/>
      <c r="F815" s="10"/>
      <c r="G815" s="13"/>
      <c r="H815" s="13"/>
      <c r="I815" s="13"/>
      <c r="J815" s="13"/>
      <c r="K815" s="13"/>
      <c r="L815" s="31"/>
      <c r="M815" s="15"/>
      <c r="N815" s="15"/>
      <c r="O815" s="36"/>
      <c r="P815" s="15"/>
      <c r="Q815" s="15"/>
      <c r="R815" s="15"/>
      <c r="S815" s="15"/>
      <c r="T815" s="15"/>
      <c r="U815" s="15"/>
    </row>
    <row r="816" spans="1:21" ht="15.6">
      <c r="A816" s="15"/>
      <c r="B816" s="15"/>
      <c r="C816" s="10"/>
      <c r="D816" s="10"/>
      <c r="E816" s="10"/>
      <c r="F816" s="10"/>
      <c r="G816" s="13"/>
      <c r="H816" s="13"/>
      <c r="I816" s="13"/>
      <c r="J816" s="13"/>
      <c r="K816" s="13"/>
      <c r="L816" s="31"/>
      <c r="M816" s="15"/>
      <c r="N816" s="15"/>
      <c r="O816" s="36"/>
      <c r="P816" s="15"/>
      <c r="Q816" s="15"/>
      <c r="R816" s="15"/>
      <c r="S816" s="15"/>
      <c r="T816" s="15"/>
      <c r="U816" s="15"/>
    </row>
    <row r="817" spans="1:21" ht="15.6">
      <c r="A817" s="15"/>
      <c r="B817" s="15"/>
      <c r="C817" s="10"/>
      <c r="D817" s="10"/>
      <c r="E817" s="10"/>
      <c r="F817" s="10"/>
      <c r="G817" s="13"/>
      <c r="H817" s="13"/>
      <c r="I817" s="13"/>
      <c r="J817" s="13"/>
      <c r="K817" s="13"/>
      <c r="L817" s="31"/>
      <c r="M817" s="15"/>
      <c r="N817" s="15"/>
      <c r="O817" s="36"/>
      <c r="P817" s="15"/>
      <c r="Q817" s="15"/>
      <c r="R817" s="15"/>
      <c r="S817" s="15"/>
      <c r="T817" s="15"/>
      <c r="U817" s="15"/>
    </row>
    <row r="818" spans="1:21" ht="15.6">
      <c r="C818" s="10"/>
      <c r="D818" s="10"/>
      <c r="E818" s="10"/>
      <c r="F818" s="10"/>
      <c r="G818" s="20"/>
      <c r="H818" s="20"/>
      <c r="I818" s="20"/>
      <c r="J818" s="20"/>
      <c r="K818" s="20"/>
      <c r="L818" s="32"/>
      <c r="O818" s="25"/>
    </row>
    <row r="819" spans="1:21" ht="15.6">
      <c r="C819" s="10"/>
      <c r="D819" s="10"/>
      <c r="E819" s="10"/>
      <c r="F819" s="10"/>
      <c r="G819" s="20"/>
      <c r="H819" s="20"/>
      <c r="I819" s="20"/>
      <c r="J819" s="20"/>
      <c r="K819" s="20"/>
      <c r="L819" s="32"/>
      <c r="O819" s="25"/>
    </row>
    <row r="820" spans="1:21" ht="15.6">
      <c r="C820" s="11"/>
      <c r="D820" s="11"/>
      <c r="E820" s="21"/>
      <c r="F820" s="21"/>
      <c r="G820" s="20"/>
      <c r="H820" s="20"/>
      <c r="I820" s="20"/>
      <c r="J820" s="20"/>
      <c r="K820" s="20"/>
      <c r="L820" s="33"/>
      <c r="O820" s="25"/>
    </row>
    <row r="821" spans="1:21" ht="15.6">
      <c r="C821" s="12"/>
      <c r="D821" s="12"/>
      <c r="E821" s="12"/>
      <c r="F821" s="12"/>
      <c r="G821" s="20"/>
      <c r="H821" s="20"/>
      <c r="I821" s="20"/>
      <c r="J821" s="20"/>
      <c r="K821" s="20"/>
      <c r="L821" s="32"/>
      <c r="O821" s="25"/>
    </row>
    <row r="822" spans="1:21" ht="15.6">
      <c r="C822" s="11"/>
      <c r="D822" s="11"/>
      <c r="E822" s="21"/>
      <c r="F822" s="21"/>
      <c r="L822" s="33"/>
      <c r="O822" s="25"/>
    </row>
    <row r="823" spans="1:21" ht="15.6">
      <c r="C823" s="10"/>
      <c r="D823" s="10"/>
      <c r="E823" s="10"/>
      <c r="F823" s="10"/>
      <c r="L823" s="32"/>
      <c r="O823" s="25"/>
    </row>
    <row r="824" spans="1:21" ht="15.6">
      <c r="C824" s="10"/>
      <c r="D824" s="10"/>
      <c r="E824" s="10"/>
      <c r="F824" s="10"/>
      <c r="L824" s="32"/>
      <c r="O824" s="25"/>
    </row>
    <row r="825" spans="1:21" ht="15.6">
      <c r="C825" s="10"/>
      <c r="D825" s="10"/>
      <c r="E825" s="10"/>
      <c r="F825" s="10"/>
      <c r="L825" s="32"/>
      <c r="O825" s="25"/>
    </row>
    <row r="826" spans="1:21" ht="15.6">
      <c r="C826" s="11"/>
      <c r="D826" s="11"/>
      <c r="E826" s="21"/>
      <c r="F826" s="21"/>
      <c r="G826" s="20"/>
      <c r="H826" s="20"/>
      <c r="I826" s="20"/>
      <c r="J826" s="20"/>
      <c r="K826" s="20"/>
      <c r="L826" s="33"/>
      <c r="O826" s="25"/>
    </row>
    <row r="827" spans="1:21" ht="15.6">
      <c r="C827" s="12"/>
      <c r="D827" s="12"/>
      <c r="E827" s="12"/>
      <c r="F827" s="12"/>
      <c r="G827" s="20"/>
      <c r="H827" s="20"/>
      <c r="I827" s="20"/>
      <c r="J827" s="20"/>
      <c r="K827" s="20"/>
      <c r="L827" s="32"/>
      <c r="O827" s="25"/>
    </row>
    <row r="828" spans="1:21" ht="15.6">
      <c r="C828" s="11"/>
      <c r="D828" s="11"/>
      <c r="E828" s="21"/>
      <c r="F828" s="21"/>
      <c r="L828" s="33"/>
      <c r="O828" s="25"/>
    </row>
    <row r="829" spans="1:21" ht="15.6">
      <c r="C829" s="10"/>
      <c r="D829" s="10"/>
      <c r="E829" s="10"/>
      <c r="F829" s="10"/>
      <c r="L829" s="32"/>
      <c r="O829" s="25"/>
    </row>
    <row r="830" spans="1:21" ht="15.6">
      <c r="C830" s="11"/>
      <c r="D830" s="11"/>
      <c r="E830" s="21"/>
      <c r="F830" s="21"/>
      <c r="L830" s="33"/>
      <c r="O830" s="25"/>
      <c r="P830" s="36"/>
    </row>
    <row r="831" spans="1:21" ht="15.6">
      <c r="C831" s="10"/>
      <c r="D831" s="10"/>
      <c r="E831" s="10"/>
      <c r="F831" s="10"/>
      <c r="L831" s="32"/>
      <c r="O831" s="25"/>
    </row>
    <row r="832" spans="1:21" ht="15.6">
      <c r="C832" s="10"/>
      <c r="D832" s="10"/>
      <c r="E832" s="10"/>
      <c r="F832" s="10"/>
      <c r="L832" s="32"/>
      <c r="O832" s="25"/>
    </row>
    <row r="833" spans="3:15" ht="15.6">
      <c r="C833" s="10"/>
      <c r="D833" s="10"/>
      <c r="E833" s="10"/>
      <c r="F833" s="10"/>
      <c r="L833" s="32"/>
      <c r="O833" s="25"/>
    </row>
    <row r="834" spans="3:15" ht="15.6">
      <c r="C834" s="10"/>
      <c r="D834" s="10"/>
      <c r="E834" s="10"/>
      <c r="F834" s="10"/>
      <c r="L834" s="32"/>
      <c r="O834" s="25"/>
    </row>
    <row r="835" spans="3:15" ht="15.6">
      <c r="C835" s="10"/>
      <c r="D835" s="10"/>
      <c r="E835" s="10"/>
      <c r="F835" s="10"/>
      <c r="L835" s="32"/>
      <c r="O835" s="25"/>
    </row>
    <row r="836" spans="3:15" ht="15.6">
      <c r="C836" s="10"/>
      <c r="D836" s="10"/>
      <c r="E836" s="10"/>
      <c r="F836" s="10"/>
      <c r="L836" s="32"/>
      <c r="O836" s="25"/>
    </row>
    <row r="837" spans="3:15" ht="15.6">
      <c r="C837" s="10"/>
      <c r="D837" s="10"/>
      <c r="E837" s="10"/>
      <c r="F837" s="10"/>
      <c r="L837" s="32"/>
      <c r="O837" s="25"/>
    </row>
    <row r="838" spans="3:15" ht="15.6">
      <c r="C838" s="10"/>
      <c r="D838" s="10"/>
      <c r="E838" s="10"/>
      <c r="F838" s="10"/>
      <c r="L838" s="32"/>
      <c r="O838" s="25"/>
    </row>
    <row r="839" spans="3:15" ht="15.6">
      <c r="C839" s="10"/>
      <c r="D839" s="10"/>
      <c r="E839" s="10"/>
      <c r="F839" s="10"/>
      <c r="L839" s="32"/>
      <c r="O839" s="25"/>
    </row>
    <row r="840" spans="3:15" ht="15.6">
      <c r="C840" s="10"/>
      <c r="D840" s="10"/>
      <c r="E840" s="10"/>
      <c r="F840" s="10"/>
      <c r="L840" s="32"/>
      <c r="O840" s="25"/>
    </row>
    <row r="841" spans="3:15" ht="15.6">
      <c r="C841" s="10"/>
      <c r="D841" s="10"/>
      <c r="E841" s="10"/>
      <c r="F841" s="10"/>
      <c r="L841" s="32"/>
      <c r="O841" s="25"/>
    </row>
    <row r="842" spans="3:15" ht="15.6">
      <c r="C842" s="10"/>
      <c r="D842" s="10"/>
      <c r="E842" s="10"/>
      <c r="F842" s="10"/>
      <c r="L842" s="32"/>
      <c r="O842" s="25"/>
    </row>
    <row r="843" spans="3:15" ht="15.6">
      <c r="C843" s="10"/>
      <c r="D843" s="10"/>
      <c r="E843" s="10"/>
      <c r="F843" s="10"/>
      <c r="L843" s="32"/>
      <c r="O843" s="25"/>
    </row>
    <row r="844" spans="3:15" ht="15.6">
      <c r="C844" s="10"/>
      <c r="D844" s="10"/>
      <c r="E844" s="10"/>
      <c r="F844" s="10"/>
      <c r="L844" s="32"/>
      <c r="O844" s="25"/>
    </row>
    <row r="845" spans="3:15" ht="15.6">
      <c r="C845" s="10"/>
      <c r="D845" s="10"/>
      <c r="E845" s="10"/>
      <c r="F845" s="10"/>
      <c r="L845" s="32"/>
      <c r="O845" s="25"/>
    </row>
    <row r="846" spans="3:15" ht="15.6">
      <c r="C846" s="10"/>
      <c r="D846" s="10"/>
      <c r="E846" s="10"/>
      <c r="F846" s="10"/>
      <c r="L846" s="32"/>
      <c r="O846" s="25"/>
    </row>
    <row r="847" spans="3:15" ht="15.6">
      <c r="C847" s="10"/>
      <c r="D847" s="10"/>
      <c r="E847" s="10"/>
      <c r="F847" s="10"/>
      <c r="L847" s="32"/>
      <c r="O847" s="25"/>
    </row>
    <row r="848" spans="3:15" ht="15.6">
      <c r="C848" s="10"/>
      <c r="D848" s="10"/>
      <c r="E848" s="10"/>
      <c r="F848" s="10"/>
      <c r="L848" s="32"/>
      <c r="O848" s="25"/>
    </row>
    <row r="849" spans="3:15" ht="15.6">
      <c r="C849" s="10"/>
      <c r="D849" s="10"/>
      <c r="E849" s="10"/>
      <c r="F849" s="10"/>
      <c r="L849" s="32"/>
      <c r="O849" s="25"/>
    </row>
    <row r="850" spans="3:15" ht="15.6">
      <c r="C850" s="10"/>
      <c r="D850" s="10"/>
      <c r="E850" s="10"/>
      <c r="F850" s="10"/>
      <c r="L850" s="32"/>
      <c r="O850" s="25"/>
    </row>
    <row r="851" spans="3:15" ht="15.6">
      <c r="C851" s="10"/>
      <c r="D851" s="10"/>
      <c r="E851" s="10"/>
      <c r="F851" s="10"/>
      <c r="L851" s="32"/>
      <c r="O851" s="25"/>
    </row>
    <row r="852" spans="3:15" ht="15.6">
      <c r="C852" s="10"/>
      <c r="D852" s="10"/>
      <c r="E852" s="10"/>
      <c r="F852" s="10"/>
      <c r="L852" s="32"/>
      <c r="O852" s="25"/>
    </row>
    <row r="853" spans="3:15" ht="15.6">
      <c r="C853" s="10"/>
      <c r="D853" s="10"/>
      <c r="E853" s="10"/>
      <c r="F853" s="10"/>
      <c r="L853" s="32"/>
      <c r="O853" s="25"/>
    </row>
    <row r="854" spans="3:15" ht="15.6">
      <c r="C854" s="10"/>
      <c r="D854" s="10"/>
      <c r="E854" s="10"/>
      <c r="F854" s="10"/>
      <c r="L854" s="32"/>
      <c r="O854" s="25"/>
    </row>
    <row r="855" spans="3:15" ht="15.6">
      <c r="C855" s="10"/>
      <c r="D855" s="10"/>
      <c r="E855" s="10"/>
      <c r="F855" s="10"/>
      <c r="L855" s="32"/>
      <c r="O855" s="25"/>
    </row>
    <row r="856" spans="3:15" ht="15.6">
      <c r="C856" s="10"/>
      <c r="D856" s="10"/>
      <c r="E856" s="10"/>
      <c r="F856" s="10"/>
      <c r="L856" s="32"/>
      <c r="O856" s="25"/>
    </row>
    <row r="857" spans="3:15" ht="15.6">
      <c r="C857" s="10"/>
      <c r="D857" s="10"/>
      <c r="E857" s="10"/>
      <c r="F857" s="10"/>
      <c r="L857" s="32"/>
      <c r="O857" s="25"/>
    </row>
    <row r="858" spans="3:15" ht="15.6">
      <c r="C858" s="10"/>
      <c r="D858" s="10"/>
      <c r="E858" s="10"/>
      <c r="F858" s="10"/>
      <c r="L858" s="32"/>
      <c r="O858" s="25"/>
    </row>
    <row r="859" spans="3:15" ht="15.6">
      <c r="C859" s="10"/>
      <c r="D859" s="10"/>
      <c r="E859" s="10"/>
      <c r="F859" s="10"/>
      <c r="L859" s="32"/>
      <c r="O859" s="25"/>
    </row>
    <row r="860" spans="3:15" ht="15.6">
      <c r="C860" s="10"/>
      <c r="D860" s="10"/>
      <c r="E860" s="10"/>
      <c r="F860" s="10"/>
      <c r="L860" s="32"/>
      <c r="O860" s="25"/>
    </row>
    <row r="861" spans="3:15" ht="15.6">
      <c r="C861" s="10"/>
      <c r="D861" s="10"/>
      <c r="E861" s="10"/>
      <c r="F861" s="10"/>
      <c r="L861" s="32"/>
      <c r="O861" s="25"/>
    </row>
    <row r="862" spans="3:15" ht="15.6">
      <c r="C862" s="22"/>
      <c r="D862" s="22"/>
      <c r="E862" s="22"/>
      <c r="F862" s="22"/>
      <c r="L862" s="33"/>
      <c r="O862" s="25"/>
    </row>
    <row r="863" spans="3:15" ht="15.6">
      <c r="C863" s="22"/>
      <c r="D863" s="22"/>
      <c r="E863" s="22"/>
      <c r="F863" s="22"/>
      <c r="L863" s="33"/>
      <c r="O863" s="25"/>
    </row>
    <row r="864" spans="3:15" ht="15.6">
      <c r="C864" s="10"/>
      <c r="D864" s="10"/>
      <c r="E864" s="10"/>
      <c r="F864" s="10"/>
      <c r="L864" s="32"/>
      <c r="O864" s="25"/>
    </row>
    <row r="865" spans="3:15" ht="15.6">
      <c r="C865" s="10"/>
      <c r="D865" s="10"/>
      <c r="E865" s="10"/>
      <c r="F865" s="10"/>
      <c r="L865" s="32"/>
      <c r="O865" s="25"/>
    </row>
    <row r="866" spans="3:15" ht="15.6">
      <c r="C866" s="10"/>
      <c r="D866" s="10"/>
      <c r="E866" s="10"/>
      <c r="F866" s="10"/>
      <c r="L866" s="32"/>
      <c r="O866" s="25"/>
    </row>
    <row r="867" spans="3:15" ht="15.6">
      <c r="C867" s="10"/>
      <c r="D867" s="10"/>
      <c r="E867" s="10"/>
      <c r="F867" s="10"/>
      <c r="L867" s="32"/>
      <c r="O867" s="25"/>
    </row>
    <row r="868" spans="3:15" ht="15.6">
      <c r="C868" s="10"/>
      <c r="D868" s="10"/>
      <c r="E868" s="10"/>
      <c r="F868" s="10"/>
      <c r="L868" s="32"/>
      <c r="O868" s="25"/>
    </row>
    <row r="869" spans="3:15" ht="15.6">
      <c r="C869" s="10"/>
      <c r="D869" s="10"/>
      <c r="E869" s="10"/>
      <c r="F869" s="10"/>
      <c r="L869" s="32"/>
      <c r="O869" s="25"/>
    </row>
    <row r="870" spans="3:15" ht="15.6">
      <c r="C870" s="10"/>
      <c r="D870" s="10"/>
      <c r="E870" s="10"/>
      <c r="F870" s="10"/>
      <c r="L870" s="32"/>
      <c r="O870" s="25"/>
    </row>
    <row r="871" spans="3:15" ht="15.6">
      <c r="C871" s="10"/>
      <c r="D871" s="10"/>
      <c r="E871" s="10"/>
      <c r="F871" s="10"/>
      <c r="L871" s="32"/>
      <c r="O871" s="25"/>
    </row>
    <row r="872" spans="3:15" ht="15.6">
      <c r="C872" s="10"/>
      <c r="D872" s="10"/>
      <c r="E872" s="10"/>
      <c r="F872" s="10"/>
      <c r="L872" s="32"/>
      <c r="O872" s="25"/>
    </row>
    <row r="873" spans="3:15" ht="15.6">
      <c r="C873" s="22"/>
      <c r="D873" s="22"/>
      <c r="E873" s="22"/>
      <c r="F873" s="22"/>
      <c r="L873" s="33"/>
      <c r="O873" s="25"/>
    </row>
    <row r="874" spans="3:15" ht="15.6">
      <c r="C874" s="10"/>
      <c r="D874" s="10"/>
      <c r="E874" s="10"/>
      <c r="F874" s="10"/>
      <c r="L874" s="32"/>
      <c r="O874" s="25"/>
    </row>
    <row r="875" spans="3:15" ht="15.6">
      <c r="C875" s="22"/>
      <c r="D875" s="22"/>
      <c r="E875" s="22"/>
      <c r="F875" s="22"/>
      <c r="L875" s="33"/>
      <c r="O875" s="25"/>
    </row>
    <row r="876" spans="3:15" ht="15.6">
      <c r="C876" s="22"/>
      <c r="D876" s="22"/>
      <c r="E876" s="22"/>
      <c r="F876" s="22"/>
      <c r="L876" s="33"/>
      <c r="O876" s="25"/>
    </row>
    <row r="877" spans="3:15" ht="15.6">
      <c r="C877" s="10"/>
      <c r="D877" s="10"/>
      <c r="E877" s="10"/>
      <c r="F877" s="10"/>
      <c r="L877" s="32"/>
      <c r="O877" s="25"/>
    </row>
    <row r="878" spans="3:15" ht="15.6">
      <c r="C878" s="10"/>
      <c r="D878" s="10"/>
      <c r="E878" s="10"/>
      <c r="F878" s="10"/>
      <c r="L878" s="32"/>
      <c r="O878" s="25"/>
    </row>
    <row r="879" spans="3:15" ht="15.6">
      <c r="C879" s="10"/>
      <c r="D879" s="10"/>
      <c r="E879" s="10"/>
      <c r="F879" s="10"/>
      <c r="L879" s="32"/>
      <c r="O879" s="25"/>
    </row>
    <row r="880" spans="3:15" ht="15.6">
      <c r="C880" s="22"/>
      <c r="D880" s="22"/>
      <c r="E880" s="22"/>
      <c r="F880" s="22"/>
      <c r="L880" s="33"/>
      <c r="O880" s="25"/>
    </row>
    <row r="881" spans="3:15" ht="15.6">
      <c r="C881" s="10"/>
      <c r="D881" s="10"/>
      <c r="E881" s="10"/>
      <c r="F881" s="10"/>
      <c r="L881" s="32"/>
      <c r="O881" s="25"/>
    </row>
    <row r="882" spans="3:15" ht="15.6">
      <c r="C882" s="10"/>
      <c r="D882" s="10"/>
      <c r="E882" s="10"/>
      <c r="F882" s="10"/>
      <c r="L882" s="32"/>
      <c r="O882" s="25"/>
    </row>
    <row r="883" spans="3:15" ht="15.6">
      <c r="C883" s="22"/>
      <c r="D883" s="22"/>
      <c r="E883" s="22"/>
      <c r="F883" s="22"/>
      <c r="L883" s="33"/>
      <c r="O883" s="25"/>
    </row>
    <row r="884" spans="3:15" ht="15.6">
      <c r="C884" s="10"/>
      <c r="D884" s="10"/>
      <c r="E884" s="10"/>
      <c r="F884" s="10"/>
      <c r="L884" s="32"/>
      <c r="O884" s="25"/>
    </row>
    <row r="885" spans="3:15" ht="15.6">
      <c r="C885" s="10"/>
      <c r="D885" s="10"/>
      <c r="E885" s="10"/>
      <c r="F885" s="10"/>
      <c r="L885" s="32"/>
      <c r="O885" s="25"/>
    </row>
    <row r="886" spans="3:15" ht="15.6">
      <c r="C886" s="10"/>
      <c r="D886" s="10"/>
      <c r="E886" s="10"/>
      <c r="F886" s="10"/>
      <c r="L886" s="32"/>
      <c r="O886" s="25"/>
    </row>
    <row r="887" spans="3:15" ht="15.6">
      <c r="C887" s="10"/>
      <c r="D887" s="10"/>
      <c r="E887" s="10"/>
      <c r="F887" s="10"/>
      <c r="L887" s="32"/>
      <c r="O887" s="25"/>
    </row>
    <row r="888" spans="3:15" ht="15.6">
      <c r="C888" s="10"/>
      <c r="D888" s="10"/>
      <c r="E888" s="10"/>
      <c r="F888" s="10"/>
      <c r="L888" s="32"/>
      <c r="O888" s="25"/>
    </row>
    <row r="889" spans="3:15" ht="15.6">
      <c r="C889" s="10"/>
      <c r="D889" s="10"/>
      <c r="E889" s="10"/>
      <c r="F889" s="10"/>
      <c r="L889" s="32"/>
      <c r="O889" s="25"/>
    </row>
    <row r="890" spans="3:15" ht="15.6">
      <c r="C890" s="10"/>
      <c r="D890" s="10"/>
      <c r="E890" s="10"/>
      <c r="F890" s="10"/>
      <c r="L890" s="32"/>
      <c r="O890" s="25"/>
    </row>
    <row r="891" spans="3:15" ht="15.6">
      <c r="C891" s="10"/>
      <c r="D891" s="10"/>
      <c r="E891" s="10"/>
      <c r="F891" s="10"/>
      <c r="L891" s="32"/>
      <c r="O891" s="25"/>
    </row>
    <row r="892" spans="3:15" ht="15.6">
      <c r="C892" s="10"/>
      <c r="D892" s="10"/>
      <c r="E892" s="10"/>
      <c r="F892" s="10"/>
      <c r="L892" s="32"/>
      <c r="O892" s="25"/>
    </row>
    <row r="893" spans="3:15" ht="15.6">
      <c r="C893" s="10"/>
      <c r="D893" s="10"/>
      <c r="E893" s="10"/>
      <c r="F893" s="10"/>
      <c r="L893" s="32"/>
      <c r="O893" s="25"/>
    </row>
    <row r="894" spans="3:15" ht="15.6">
      <c r="C894" s="10"/>
      <c r="D894" s="10"/>
      <c r="E894" s="10"/>
      <c r="F894" s="10"/>
      <c r="L894" s="32"/>
      <c r="O894" s="25"/>
    </row>
    <row r="895" spans="3:15" ht="15.6">
      <c r="C895" s="10"/>
      <c r="D895" s="10"/>
      <c r="E895" s="10"/>
      <c r="F895" s="10"/>
      <c r="L895" s="32"/>
      <c r="O895" s="25"/>
    </row>
    <row r="896" spans="3:15" ht="15.6">
      <c r="C896" s="10"/>
      <c r="D896" s="10"/>
      <c r="E896" s="10"/>
      <c r="F896" s="10"/>
      <c r="L896" s="32"/>
      <c r="O896" s="25"/>
    </row>
    <row r="897" spans="3:16" ht="15.6">
      <c r="C897" s="22"/>
      <c r="D897" s="22"/>
      <c r="E897" s="22"/>
      <c r="F897" s="22"/>
      <c r="L897" s="33"/>
      <c r="O897" s="25"/>
      <c r="P897" s="36"/>
    </row>
    <row r="898" spans="3:16" ht="15.6">
      <c r="C898" s="10"/>
      <c r="D898" s="10"/>
      <c r="E898" s="10"/>
      <c r="F898" s="10"/>
      <c r="G898" s="15"/>
      <c r="H898" s="15"/>
      <c r="I898" s="15"/>
      <c r="J898" s="15"/>
      <c r="K898" s="15"/>
      <c r="L898" s="31"/>
      <c r="O898" s="25"/>
    </row>
    <row r="899" spans="3:16" ht="15.6">
      <c r="C899" s="10"/>
      <c r="D899" s="10"/>
      <c r="E899" s="10"/>
      <c r="F899" s="10"/>
      <c r="G899" s="15"/>
      <c r="H899" s="15"/>
      <c r="I899" s="15"/>
      <c r="J899" s="15"/>
      <c r="K899" s="15"/>
      <c r="L899" s="31"/>
      <c r="O899" s="25"/>
    </row>
    <row r="900" spans="3:16" ht="15.6">
      <c r="C900" s="10"/>
      <c r="D900" s="10"/>
      <c r="E900" s="10"/>
      <c r="F900" s="10"/>
      <c r="G900" s="15"/>
      <c r="H900" s="15"/>
      <c r="I900" s="15"/>
      <c r="J900" s="15"/>
      <c r="K900" s="15"/>
      <c r="L900" s="31"/>
      <c r="O900" s="25"/>
    </row>
    <row r="901" spans="3:16" ht="15.6">
      <c r="C901" s="10"/>
      <c r="D901" s="10"/>
      <c r="E901" s="10"/>
      <c r="F901" s="10"/>
      <c r="G901" s="15"/>
      <c r="H901" s="15"/>
      <c r="I901" s="15"/>
      <c r="J901" s="15"/>
      <c r="K901" s="15"/>
      <c r="L901" s="31"/>
      <c r="O901" s="25"/>
    </row>
    <row r="902" spans="3:16" ht="15.6">
      <c r="C902" s="10"/>
      <c r="D902" s="10"/>
      <c r="E902" s="10"/>
      <c r="F902" s="10"/>
      <c r="G902" s="15"/>
      <c r="H902" s="15"/>
      <c r="I902" s="15"/>
      <c r="J902" s="15"/>
      <c r="K902" s="15"/>
      <c r="L902" s="31"/>
      <c r="O902" s="25"/>
    </row>
    <row r="903" spans="3:16" ht="15.6">
      <c r="C903" s="10"/>
      <c r="D903" s="10"/>
      <c r="E903" s="10"/>
      <c r="F903" s="10"/>
      <c r="G903" s="15"/>
      <c r="H903" s="15"/>
      <c r="I903" s="15"/>
      <c r="J903" s="15"/>
      <c r="K903" s="15"/>
      <c r="L903" s="31"/>
      <c r="O903" s="25"/>
    </row>
    <row r="904" spans="3:16" ht="15.6">
      <c r="C904" s="10"/>
      <c r="D904" s="10"/>
      <c r="E904" s="10"/>
      <c r="F904" s="10"/>
      <c r="G904" s="10"/>
      <c r="H904" s="10"/>
      <c r="I904" s="10"/>
      <c r="J904" s="10"/>
      <c r="K904" s="10"/>
      <c r="L904" s="34"/>
      <c r="O904" s="25"/>
    </row>
    <row r="905" spans="3:16" ht="15.6">
      <c r="C905" s="10"/>
      <c r="D905" s="10"/>
      <c r="E905" s="10"/>
      <c r="F905" s="10"/>
      <c r="G905" s="15"/>
      <c r="H905" s="15"/>
      <c r="I905" s="15"/>
      <c r="J905" s="15"/>
      <c r="K905" s="15"/>
      <c r="L905" s="31"/>
      <c r="O905" s="25"/>
    </row>
    <row r="906" spans="3:16" ht="15.6">
      <c r="C906" s="22"/>
      <c r="D906" s="22"/>
      <c r="E906" s="22"/>
      <c r="F906" s="22"/>
      <c r="L906" s="33"/>
      <c r="O906" s="25"/>
    </row>
    <row r="907" spans="3:16" ht="15.6">
      <c r="C907" s="22"/>
      <c r="D907" s="22"/>
      <c r="E907" s="22"/>
      <c r="F907" s="22"/>
      <c r="L907" s="33"/>
      <c r="O907" s="25"/>
    </row>
    <row r="908" spans="3:16" ht="15.6">
      <c r="C908" s="27"/>
      <c r="D908" s="27"/>
      <c r="E908" s="27"/>
      <c r="F908" s="27"/>
      <c r="G908" s="28"/>
      <c r="H908" s="28"/>
      <c r="I908" s="28"/>
      <c r="J908" s="28"/>
      <c r="K908" s="28"/>
      <c r="L908" s="35"/>
      <c r="O908" s="25"/>
    </row>
    <row r="909" spans="3:16" ht="15.6">
      <c r="C909" s="10"/>
      <c r="D909" s="10"/>
      <c r="E909" s="10"/>
      <c r="F909" s="10"/>
      <c r="L909" s="32"/>
      <c r="O909" s="25"/>
    </row>
    <row r="910" spans="3:16" ht="15.6">
      <c r="C910" s="10"/>
      <c r="D910" s="10"/>
      <c r="E910" s="10"/>
      <c r="F910" s="10"/>
      <c r="L910" s="32"/>
      <c r="O910" s="25"/>
    </row>
    <row r="911" spans="3:16" ht="15.6">
      <c r="C911" s="27"/>
      <c r="D911" s="27"/>
      <c r="E911" s="27"/>
      <c r="F911" s="27"/>
      <c r="L911" s="32"/>
      <c r="O911" s="25"/>
    </row>
    <row r="912" spans="3:16" ht="15.6">
      <c r="C912" s="10"/>
      <c r="D912" s="10"/>
      <c r="E912" s="10"/>
      <c r="F912" s="10"/>
      <c r="L912" s="32"/>
      <c r="O912" s="25"/>
    </row>
    <row r="913" spans="3:15" ht="15.6">
      <c r="C913" s="10"/>
      <c r="D913" s="10"/>
      <c r="E913" s="10"/>
      <c r="F913" s="10"/>
      <c r="L913" s="32"/>
      <c r="O913" s="25"/>
    </row>
    <row r="914" spans="3:15" ht="15.6">
      <c r="C914" s="10"/>
      <c r="D914" s="10"/>
      <c r="E914" s="10"/>
      <c r="F914" s="10"/>
      <c r="L914" s="32"/>
      <c r="O914" s="25"/>
    </row>
    <row r="915" spans="3:15" ht="15.6">
      <c r="C915" s="10"/>
      <c r="D915" s="10"/>
      <c r="E915" s="10"/>
      <c r="F915" s="10"/>
      <c r="L915" s="32"/>
      <c r="O915" s="25"/>
    </row>
    <row r="916" spans="3:15" ht="15.6">
      <c r="C916" s="10"/>
      <c r="D916" s="10"/>
      <c r="E916" s="10"/>
      <c r="F916" s="10"/>
      <c r="L916" s="32"/>
      <c r="O916" s="25"/>
    </row>
    <row r="917" spans="3:15" ht="15.6">
      <c r="C917" s="10"/>
      <c r="D917" s="10"/>
      <c r="E917" s="10"/>
      <c r="F917" s="10"/>
      <c r="L917" s="32"/>
      <c r="O917" s="25"/>
    </row>
    <row r="918" spans="3:15" ht="15.6">
      <c r="C918" s="10"/>
      <c r="D918" s="10"/>
      <c r="E918" s="10"/>
      <c r="F918" s="10"/>
      <c r="L918" s="32"/>
      <c r="O918" s="25"/>
    </row>
    <row r="919" spans="3:15" ht="15.6">
      <c r="C919" s="10"/>
      <c r="D919" s="10"/>
      <c r="E919" s="10"/>
      <c r="F919" s="10"/>
      <c r="L919" s="32"/>
      <c r="O919" s="25"/>
    </row>
    <row r="920" spans="3:15" ht="15.6">
      <c r="C920" s="10"/>
      <c r="D920" s="10"/>
      <c r="E920" s="10"/>
      <c r="F920" s="10"/>
      <c r="L920" s="32"/>
      <c r="O920" s="25"/>
    </row>
    <row r="921" spans="3:15" ht="15.6">
      <c r="C921" s="10"/>
      <c r="D921" s="10"/>
      <c r="E921" s="10"/>
      <c r="F921" s="10"/>
      <c r="L921" s="32"/>
      <c r="O921" s="25"/>
    </row>
    <row r="922" spans="3:15" ht="15.6">
      <c r="C922" s="10"/>
      <c r="D922" s="10"/>
      <c r="E922" s="10"/>
      <c r="F922" s="10"/>
      <c r="L922" s="32"/>
      <c r="O922" s="25"/>
    </row>
    <row r="923" spans="3:15" ht="15.6">
      <c r="C923" s="10"/>
      <c r="D923" s="10"/>
      <c r="E923" s="10"/>
      <c r="F923" s="10"/>
      <c r="L923" s="32"/>
      <c r="O923" s="25"/>
    </row>
    <row r="924" spans="3:15" ht="15.6">
      <c r="C924" s="22"/>
      <c r="D924" s="22"/>
      <c r="E924" s="22"/>
      <c r="F924" s="22"/>
      <c r="L924" s="33"/>
      <c r="O924" s="25"/>
    </row>
    <row r="925" spans="3:15" ht="15.6">
      <c r="C925" s="10"/>
      <c r="D925" s="10"/>
      <c r="E925" s="10"/>
      <c r="F925" s="10"/>
      <c r="L925" s="32"/>
      <c r="O925" s="25"/>
    </row>
    <row r="926" spans="3:15" ht="15.6">
      <c r="C926" s="10"/>
      <c r="D926" s="10"/>
      <c r="E926" s="10"/>
      <c r="F926" s="10"/>
      <c r="L926" s="32"/>
      <c r="O926" s="25"/>
    </row>
    <row r="927" spans="3:15" ht="15.6">
      <c r="C927" s="10"/>
      <c r="D927" s="10"/>
      <c r="E927" s="10"/>
      <c r="F927" s="10"/>
      <c r="L927" s="32"/>
      <c r="O927" s="25"/>
    </row>
    <row r="928" spans="3:15" ht="15.6">
      <c r="C928" s="10"/>
      <c r="D928" s="10"/>
      <c r="E928" s="10"/>
      <c r="F928" s="10"/>
      <c r="L928" s="32"/>
      <c r="O928" s="25"/>
    </row>
    <row r="929" spans="3:15" ht="15.6">
      <c r="C929" s="10"/>
      <c r="D929" s="10"/>
      <c r="E929" s="10"/>
      <c r="F929" s="10"/>
      <c r="L929" s="32"/>
      <c r="O929" s="25"/>
    </row>
    <row r="930" spans="3:15" ht="15.6">
      <c r="C930" s="10"/>
      <c r="D930" s="10"/>
      <c r="E930" s="10"/>
      <c r="F930" s="10"/>
      <c r="L930" s="32"/>
      <c r="O930" s="25"/>
    </row>
    <row r="931" spans="3:15" ht="15.6">
      <c r="C931" s="10"/>
      <c r="D931" s="10"/>
      <c r="E931" s="10"/>
      <c r="F931" s="10"/>
      <c r="L931" s="32"/>
      <c r="O931" s="25"/>
    </row>
    <row r="932" spans="3:15" ht="15.6">
      <c r="C932" s="10"/>
      <c r="D932" s="10"/>
      <c r="E932" s="10"/>
      <c r="F932" s="10"/>
      <c r="L932" s="32"/>
      <c r="O932" s="25"/>
    </row>
    <row r="933" spans="3:15" ht="15.6">
      <c r="C933" s="10"/>
      <c r="D933" s="10"/>
      <c r="E933" s="10"/>
      <c r="F933" s="10"/>
      <c r="L933" s="32"/>
      <c r="O933" s="25"/>
    </row>
    <row r="934" spans="3:15" ht="15.6">
      <c r="C934" s="22"/>
      <c r="D934" s="22"/>
      <c r="E934" s="22"/>
      <c r="F934" s="22"/>
      <c r="L934" s="33"/>
      <c r="O934" s="25"/>
    </row>
    <row r="935" spans="3:15" ht="15.6">
      <c r="C935" s="10"/>
      <c r="D935" s="10"/>
      <c r="E935" s="10"/>
      <c r="F935" s="10"/>
      <c r="L935" s="32"/>
      <c r="O935" s="25"/>
    </row>
    <row r="936" spans="3:15" ht="15.6">
      <c r="C936" s="10"/>
      <c r="D936" s="10"/>
      <c r="E936" s="10"/>
      <c r="F936" s="10"/>
      <c r="L936" s="32"/>
      <c r="O936" s="25"/>
    </row>
    <row r="937" spans="3:15" ht="15.6">
      <c r="C937" s="10"/>
      <c r="D937" s="10"/>
      <c r="E937" s="10"/>
      <c r="F937" s="10"/>
      <c r="L937" s="32"/>
      <c r="O937" s="25"/>
    </row>
    <row r="938" spans="3:15" ht="15.6">
      <c r="C938" s="10"/>
      <c r="D938" s="10"/>
      <c r="E938" s="10"/>
      <c r="F938" s="10"/>
      <c r="L938" s="32"/>
      <c r="O938" s="25"/>
    </row>
    <row r="939" spans="3:15" ht="15.6">
      <c r="C939" s="10"/>
      <c r="D939" s="10"/>
      <c r="E939" s="10"/>
      <c r="F939" s="10"/>
      <c r="L939" s="32"/>
      <c r="O939" s="25"/>
    </row>
    <row r="940" spans="3:15" ht="15.6">
      <c r="C940" s="10"/>
      <c r="D940" s="10"/>
      <c r="E940" s="10"/>
      <c r="F940" s="10"/>
      <c r="L940" s="32"/>
      <c r="O940" s="25"/>
    </row>
    <row r="941" spans="3:15" ht="15.6">
      <c r="C941" s="10"/>
      <c r="D941" s="10"/>
      <c r="E941" s="10"/>
      <c r="F941" s="10"/>
      <c r="L941" s="32"/>
      <c r="O941" s="25"/>
    </row>
    <row r="942" spans="3:15" ht="15.6">
      <c r="C942" s="10"/>
      <c r="D942" s="10"/>
      <c r="E942" s="10"/>
      <c r="F942" s="10"/>
      <c r="L942" s="32"/>
      <c r="O942" s="25"/>
    </row>
    <row r="943" spans="3:15" ht="15.6">
      <c r="C943" s="10"/>
      <c r="D943" s="10"/>
      <c r="E943" s="10"/>
      <c r="F943" s="10"/>
      <c r="L943" s="32"/>
      <c r="O943" s="25"/>
    </row>
    <row r="944" spans="3:15" ht="15.6">
      <c r="C944" s="22"/>
      <c r="D944" s="22"/>
      <c r="E944" s="22"/>
      <c r="F944" s="22"/>
      <c r="L944" s="33"/>
      <c r="O944" s="25"/>
    </row>
    <row r="945" spans="3:16" ht="15.6">
      <c r="C945" s="10"/>
      <c r="D945" s="10"/>
      <c r="E945" s="10"/>
      <c r="F945" s="10"/>
      <c r="L945" s="32"/>
      <c r="O945" s="25"/>
    </row>
    <row r="946" spans="3:16" ht="15.6">
      <c r="C946" s="10"/>
      <c r="D946" s="10"/>
      <c r="E946" s="10"/>
      <c r="F946" s="10"/>
      <c r="L946" s="32"/>
      <c r="O946" s="25"/>
    </row>
    <row r="947" spans="3:16" ht="15.6">
      <c r="C947" s="10"/>
      <c r="D947" s="10"/>
      <c r="E947" s="10"/>
      <c r="F947" s="10"/>
      <c r="L947" s="32"/>
      <c r="O947" s="25"/>
    </row>
    <row r="948" spans="3:16" ht="15.6">
      <c r="C948" s="10"/>
      <c r="D948" s="10"/>
      <c r="E948" s="10"/>
      <c r="F948" s="10"/>
      <c r="L948" s="32"/>
      <c r="O948" s="25"/>
    </row>
    <row r="949" spans="3:16" ht="15.6">
      <c r="C949" s="10"/>
      <c r="D949" s="10"/>
      <c r="E949" s="10"/>
      <c r="F949" s="10"/>
      <c r="L949" s="32"/>
      <c r="O949" s="25"/>
    </row>
    <row r="950" spans="3:16" ht="15.6">
      <c r="C950" s="10"/>
      <c r="D950" s="10"/>
      <c r="E950" s="10"/>
      <c r="F950" s="10"/>
      <c r="L950" s="32"/>
      <c r="O950" s="25"/>
    </row>
    <row r="951" spans="3:16" ht="15.6">
      <c r="C951" s="10"/>
      <c r="D951" s="10"/>
      <c r="E951" s="10"/>
      <c r="F951" s="10"/>
      <c r="L951" s="32"/>
      <c r="O951" s="25"/>
    </row>
    <row r="952" spans="3:16" ht="15.6">
      <c r="C952" s="10"/>
      <c r="D952" s="10"/>
      <c r="E952" s="10"/>
      <c r="F952" s="10"/>
      <c r="L952" s="32"/>
      <c r="O952" s="25"/>
    </row>
    <row r="953" spans="3:16" ht="15.6">
      <c r="C953" s="10"/>
      <c r="D953" s="10"/>
      <c r="E953" s="10"/>
      <c r="F953" s="10"/>
      <c r="L953" s="32"/>
      <c r="O953" s="25"/>
    </row>
    <row r="954" spans="3:16" ht="15.6">
      <c r="C954" s="10"/>
      <c r="D954" s="10"/>
      <c r="E954" s="10"/>
      <c r="F954" s="10"/>
      <c r="L954" s="32"/>
      <c r="O954" s="25"/>
    </row>
    <row r="955" spans="3:16" ht="15.6">
      <c r="C955" s="10"/>
      <c r="D955" s="10"/>
      <c r="E955" s="10"/>
      <c r="F955" s="10"/>
      <c r="L955" s="32"/>
      <c r="O955" s="25"/>
    </row>
    <row r="956" spans="3:16" ht="15.6">
      <c r="C956" s="10"/>
      <c r="D956" s="10"/>
      <c r="E956" s="10"/>
      <c r="F956" s="10"/>
      <c r="L956" s="32"/>
      <c r="O956" s="25"/>
    </row>
    <row r="957" spans="3:16" ht="15.6">
      <c r="C957" s="10"/>
      <c r="D957" s="10"/>
      <c r="E957" s="10"/>
      <c r="F957" s="10"/>
      <c r="L957" s="32"/>
      <c r="O957" s="25"/>
    </row>
    <row r="958" spans="3:16" ht="15.6">
      <c r="C958" s="22"/>
      <c r="D958" s="22"/>
      <c r="E958" s="22"/>
      <c r="F958" s="22"/>
      <c r="L958" s="33"/>
      <c r="O958" s="25"/>
      <c r="P958" s="36"/>
    </row>
    <row r="959" spans="3:16" ht="15.6">
      <c r="C959" s="22"/>
      <c r="D959" s="22"/>
      <c r="E959" s="22"/>
      <c r="F959" s="22"/>
      <c r="L959" s="33"/>
      <c r="O959" s="25"/>
    </row>
    <row r="960" spans="3:16" ht="15.6">
      <c r="C960" s="10"/>
      <c r="D960" s="10"/>
      <c r="E960" s="10"/>
      <c r="F960" s="10"/>
      <c r="L960" s="32"/>
      <c r="O960" s="25"/>
    </row>
    <row r="961" spans="3:16" ht="15.6">
      <c r="C961" s="10"/>
      <c r="D961" s="10"/>
      <c r="E961" s="10"/>
      <c r="F961" s="10"/>
      <c r="L961" s="32"/>
      <c r="O961" s="25"/>
    </row>
    <row r="962" spans="3:16" ht="15.6">
      <c r="C962" s="10"/>
      <c r="D962" s="10"/>
      <c r="E962" s="10"/>
      <c r="F962" s="10"/>
      <c r="L962" s="32"/>
      <c r="O962" s="25"/>
    </row>
    <row r="963" spans="3:16" ht="15.6">
      <c r="C963" s="10"/>
      <c r="D963" s="10"/>
      <c r="E963" s="10"/>
      <c r="F963" s="10"/>
      <c r="L963" s="32"/>
      <c r="O963" s="25"/>
    </row>
    <row r="964" spans="3:16" ht="15.6">
      <c r="C964" s="10"/>
      <c r="D964" s="10"/>
      <c r="E964" s="10"/>
      <c r="F964" s="10"/>
      <c r="L964" s="32"/>
      <c r="O964" s="25"/>
    </row>
    <row r="965" spans="3:16" ht="15.6">
      <c r="C965" s="10"/>
      <c r="D965" s="10"/>
      <c r="E965" s="10"/>
      <c r="F965" s="10"/>
      <c r="L965" s="32"/>
      <c r="O965" s="25"/>
    </row>
    <row r="966" spans="3:16" ht="15.6">
      <c r="C966" s="22"/>
      <c r="D966" s="22"/>
      <c r="E966" s="22"/>
      <c r="F966" s="22"/>
      <c r="L966" s="33"/>
      <c r="O966" s="25"/>
      <c r="P966" s="36"/>
    </row>
    <row r="967" spans="3:16" ht="15.6">
      <c r="C967" s="10"/>
      <c r="D967" s="10"/>
      <c r="E967" s="10"/>
      <c r="F967" s="10"/>
      <c r="L967" s="32"/>
      <c r="O967" s="25"/>
    </row>
    <row r="968" spans="3:16" ht="15.6">
      <c r="C968" s="10"/>
      <c r="D968" s="10"/>
      <c r="E968" s="10"/>
      <c r="F968" s="10"/>
      <c r="L968" s="32"/>
      <c r="O968" s="25"/>
    </row>
    <row r="969" spans="3:16" ht="15.6">
      <c r="C969" s="10"/>
      <c r="D969" s="10"/>
      <c r="E969" s="10"/>
      <c r="F969" s="10"/>
      <c r="L969" s="32"/>
      <c r="O969" s="25"/>
    </row>
    <row r="970" spans="3:16" ht="15.6">
      <c r="C970" s="10"/>
      <c r="D970" s="10"/>
      <c r="E970" s="10"/>
      <c r="F970" s="10"/>
      <c r="L970" s="32"/>
      <c r="O970" s="25"/>
    </row>
    <row r="971" spans="3:16" ht="15.6">
      <c r="C971" s="10"/>
      <c r="D971" s="10"/>
      <c r="E971" s="10"/>
      <c r="F971" s="10"/>
      <c r="L971" s="32"/>
      <c r="O971" s="25"/>
    </row>
    <row r="972" spans="3:16" ht="15.6">
      <c r="C972" s="10"/>
      <c r="D972" s="10"/>
      <c r="E972" s="10"/>
      <c r="F972" s="10"/>
      <c r="L972" s="32"/>
      <c r="O972" s="25"/>
    </row>
    <row r="973" spans="3:16" ht="15.6">
      <c r="C973" s="10"/>
      <c r="D973" s="10"/>
      <c r="E973" s="10"/>
      <c r="F973" s="10"/>
      <c r="L973" s="32"/>
      <c r="O973" s="25"/>
    </row>
    <row r="974" spans="3:16" ht="15.6">
      <c r="C974" s="10"/>
      <c r="D974" s="10"/>
      <c r="E974" s="10"/>
      <c r="F974" s="10"/>
      <c r="L974" s="32"/>
      <c r="O974" s="25"/>
    </row>
    <row r="975" spans="3:16" ht="15.6">
      <c r="C975" s="10"/>
      <c r="D975" s="10"/>
      <c r="E975" s="10"/>
      <c r="F975" s="10"/>
      <c r="L975" s="32"/>
      <c r="O975" s="25"/>
    </row>
    <row r="976" spans="3:16" ht="15.6">
      <c r="C976" s="10"/>
      <c r="D976" s="10"/>
      <c r="E976" s="10"/>
      <c r="F976" s="10"/>
      <c r="L976" s="32"/>
      <c r="O976" s="25"/>
    </row>
    <row r="977" spans="3:15" ht="15.6">
      <c r="C977" s="10"/>
      <c r="D977" s="10"/>
      <c r="E977" s="10"/>
      <c r="F977" s="10"/>
      <c r="L977" s="32"/>
      <c r="O977" s="25"/>
    </row>
    <row r="978" spans="3:15" ht="15.6">
      <c r="C978" s="10"/>
      <c r="D978" s="10"/>
      <c r="E978" s="10"/>
      <c r="F978" s="10"/>
      <c r="L978" s="32"/>
      <c r="O978" s="25"/>
    </row>
    <row r="979" spans="3:15" ht="15.6">
      <c r="C979" s="10"/>
      <c r="D979" s="10"/>
      <c r="E979" s="10"/>
      <c r="F979" s="10"/>
      <c r="L979" s="32"/>
      <c r="O979" s="25"/>
    </row>
    <row r="980" spans="3:15" ht="15.6">
      <c r="C980" s="10"/>
      <c r="D980" s="10"/>
      <c r="E980" s="10"/>
      <c r="F980" s="10"/>
      <c r="L980" s="32"/>
      <c r="O980" s="25"/>
    </row>
    <row r="981" spans="3:15" ht="15.6">
      <c r="C981" s="10"/>
      <c r="D981" s="10"/>
      <c r="E981" s="10"/>
      <c r="F981" s="10"/>
      <c r="L981" s="32"/>
      <c r="O981" s="25"/>
    </row>
    <row r="982" spans="3:15" ht="15.6">
      <c r="C982" s="10"/>
      <c r="D982" s="10"/>
      <c r="E982" s="10"/>
      <c r="F982" s="10"/>
      <c r="L982" s="32"/>
      <c r="O982" s="25"/>
    </row>
    <row r="983" spans="3:15" ht="15.6">
      <c r="C983" s="10"/>
      <c r="D983" s="10"/>
      <c r="E983" s="10"/>
      <c r="F983" s="10"/>
      <c r="L983" s="32"/>
      <c r="O983" s="25"/>
    </row>
    <row r="984" spans="3:15" ht="15.6">
      <c r="C984" s="10"/>
      <c r="D984" s="10"/>
      <c r="E984" s="10"/>
      <c r="F984" s="10"/>
      <c r="L984" s="32"/>
      <c r="O984" s="25"/>
    </row>
    <row r="985" spans="3:15" ht="15.6">
      <c r="C985" s="10"/>
      <c r="D985" s="10"/>
      <c r="E985" s="10"/>
      <c r="F985" s="10"/>
      <c r="L985" s="32"/>
      <c r="O985" s="25"/>
    </row>
    <row r="986" spans="3:15" ht="15.6">
      <c r="C986" s="10"/>
      <c r="D986" s="10"/>
      <c r="E986" s="10"/>
      <c r="F986" s="10"/>
      <c r="L986" s="32"/>
      <c r="O986" s="25"/>
    </row>
    <row r="987" spans="3:15" ht="15.6">
      <c r="C987" s="10"/>
      <c r="D987" s="10"/>
      <c r="E987" s="10"/>
      <c r="F987" s="10"/>
      <c r="L987" s="32"/>
      <c r="O987" s="25"/>
    </row>
    <row r="988" spans="3:15" ht="15.6">
      <c r="C988" s="10"/>
      <c r="D988" s="10"/>
      <c r="E988" s="10"/>
      <c r="F988" s="10"/>
      <c r="L988" s="32"/>
      <c r="O988" s="25"/>
    </row>
    <row r="989" spans="3:15" ht="15.6">
      <c r="C989" s="10"/>
      <c r="D989" s="10"/>
      <c r="E989" s="10"/>
      <c r="F989" s="10"/>
      <c r="L989" s="32"/>
      <c r="O989" s="25"/>
    </row>
    <row r="990" spans="3:15" ht="15.6">
      <c r="C990" s="10"/>
      <c r="D990" s="10"/>
      <c r="E990" s="10"/>
      <c r="F990" s="10"/>
      <c r="L990" s="32"/>
      <c r="O990" s="25"/>
    </row>
    <row r="991" spans="3:15" ht="15.6">
      <c r="C991" s="10"/>
      <c r="D991" s="10"/>
      <c r="E991" s="10"/>
      <c r="F991" s="10"/>
      <c r="L991" s="32"/>
      <c r="O991" s="25"/>
    </row>
    <row r="992" spans="3:15" ht="15.6">
      <c r="C992" s="10"/>
      <c r="D992" s="10"/>
      <c r="E992" s="10"/>
      <c r="F992" s="10"/>
      <c r="L992" s="32"/>
      <c r="O992" s="25"/>
    </row>
    <row r="993" spans="3:15" ht="15.6">
      <c r="C993" s="10"/>
      <c r="D993" s="10"/>
      <c r="E993" s="10"/>
      <c r="F993" s="10"/>
      <c r="L993" s="32"/>
      <c r="O993" s="25"/>
    </row>
    <row r="994" spans="3:15" ht="15.6">
      <c r="C994" s="10"/>
      <c r="D994" s="10"/>
      <c r="E994" s="10"/>
      <c r="F994" s="10"/>
      <c r="L994" s="32"/>
      <c r="O994" s="25"/>
    </row>
    <row r="995" spans="3:15" ht="15.6">
      <c r="C995" s="10"/>
      <c r="D995" s="10"/>
      <c r="E995" s="10"/>
      <c r="F995" s="10"/>
      <c r="L995" s="32"/>
      <c r="O995" s="25"/>
    </row>
    <row r="996" spans="3:15" ht="15.6">
      <c r="C996" s="10"/>
      <c r="D996" s="10"/>
      <c r="E996" s="10"/>
      <c r="F996" s="10"/>
      <c r="L996" s="32"/>
      <c r="O996" s="25"/>
    </row>
    <row r="997" spans="3:15" ht="15.6">
      <c r="C997" s="22"/>
      <c r="D997" s="22"/>
      <c r="E997" s="22"/>
      <c r="F997" s="22"/>
      <c r="L997" s="33"/>
      <c r="O997" s="25"/>
    </row>
    <row r="998" spans="3:15" ht="15.6">
      <c r="C998" s="10"/>
      <c r="D998" s="10"/>
      <c r="E998" s="10"/>
      <c r="F998" s="10"/>
      <c r="L998" s="32"/>
      <c r="O998" s="25"/>
    </row>
    <row r="999" spans="3:15" ht="15.6">
      <c r="C999" s="10"/>
      <c r="D999" s="10"/>
      <c r="E999" s="10"/>
      <c r="F999" s="10"/>
      <c r="L999" s="32"/>
      <c r="O999" s="25"/>
    </row>
    <row r="1000" spans="3:15" ht="15.6">
      <c r="C1000" s="10"/>
      <c r="D1000" s="10"/>
      <c r="E1000" s="10"/>
      <c r="F1000" s="10"/>
      <c r="L1000" s="32"/>
      <c r="O1000" s="25"/>
    </row>
    <row r="1001" spans="3:15" ht="15.6">
      <c r="C1001" s="10"/>
      <c r="D1001" s="10"/>
      <c r="E1001" s="10"/>
      <c r="F1001" s="10"/>
      <c r="L1001" s="32"/>
      <c r="O1001" s="25"/>
    </row>
    <row r="1002" spans="3:15" ht="15.6">
      <c r="C1002" s="10"/>
      <c r="D1002" s="10"/>
      <c r="E1002" s="10"/>
      <c r="F1002" s="10"/>
      <c r="L1002" s="32"/>
      <c r="O1002" s="25"/>
    </row>
    <row r="1003" spans="3:15" ht="15.6">
      <c r="C1003" s="10"/>
      <c r="D1003" s="10"/>
      <c r="E1003" s="10"/>
      <c r="F1003" s="10"/>
      <c r="L1003" s="32"/>
      <c r="O1003" s="25"/>
    </row>
    <row r="1004" spans="3:15" ht="15.6">
      <c r="C1004" s="10"/>
      <c r="D1004" s="10"/>
      <c r="E1004" s="10"/>
      <c r="F1004" s="10"/>
      <c r="L1004" s="32"/>
      <c r="O1004" s="25"/>
    </row>
    <row r="1005" spans="3:15" ht="15.6">
      <c r="C1005" s="10"/>
      <c r="D1005" s="10"/>
      <c r="E1005" s="10"/>
      <c r="F1005" s="10"/>
      <c r="L1005" s="32"/>
      <c r="O1005" s="25"/>
    </row>
    <row r="1006" spans="3:15" ht="15.6">
      <c r="C1006" s="10"/>
      <c r="D1006" s="10"/>
      <c r="E1006" s="10"/>
      <c r="F1006" s="10"/>
      <c r="L1006" s="32"/>
      <c r="O1006" s="25"/>
    </row>
    <row r="1007" spans="3:15" ht="15.6">
      <c r="C1007" s="10"/>
      <c r="D1007" s="10"/>
      <c r="E1007" s="10"/>
      <c r="F1007" s="10"/>
      <c r="L1007" s="32"/>
      <c r="O1007" s="25"/>
    </row>
    <row r="1008" spans="3:15" ht="15.6">
      <c r="C1008" s="22"/>
      <c r="D1008" s="22"/>
      <c r="E1008" s="22"/>
      <c r="F1008" s="22"/>
      <c r="L1008" s="33"/>
      <c r="O1008" s="25"/>
    </row>
    <row r="1009" spans="3:15" ht="15.6">
      <c r="C1009" s="10"/>
      <c r="D1009" s="10"/>
      <c r="E1009" s="10"/>
      <c r="F1009" s="10"/>
      <c r="L1009" s="32"/>
      <c r="O1009" s="25"/>
    </row>
    <row r="1010" spans="3:15" ht="15.6">
      <c r="C1010" s="10"/>
      <c r="D1010" s="10"/>
      <c r="E1010" s="10"/>
      <c r="F1010" s="10"/>
      <c r="L1010" s="32"/>
      <c r="O1010" s="25"/>
    </row>
    <row r="1011" spans="3:15" ht="15.6">
      <c r="C1011" s="10"/>
      <c r="D1011" s="10"/>
      <c r="E1011" s="10"/>
      <c r="F1011" s="10"/>
      <c r="L1011" s="32"/>
      <c r="O1011" s="25"/>
    </row>
    <row r="1012" spans="3:15" ht="15.6">
      <c r="C1012" s="10"/>
      <c r="D1012" s="10"/>
      <c r="E1012" s="10"/>
      <c r="F1012" s="10"/>
      <c r="L1012" s="32"/>
      <c r="O1012" s="25"/>
    </row>
    <row r="1013" spans="3:15" ht="15.6">
      <c r="C1013" s="10"/>
      <c r="D1013" s="10"/>
      <c r="E1013" s="10"/>
      <c r="F1013" s="10"/>
      <c r="L1013" s="32"/>
      <c r="O1013" s="25"/>
    </row>
    <row r="1014" spans="3:15" ht="15.6">
      <c r="C1014" s="10"/>
      <c r="D1014" s="10"/>
      <c r="E1014" s="10"/>
      <c r="F1014" s="10"/>
      <c r="L1014" s="32"/>
      <c r="O1014" s="25"/>
    </row>
    <row r="1015" spans="3:15" ht="15.6">
      <c r="C1015" s="10"/>
      <c r="D1015" s="10"/>
      <c r="E1015" s="10"/>
      <c r="F1015" s="10"/>
      <c r="L1015" s="32"/>
      <c r="O1015" s="25"/>
    </row>
    <row r="1016" spans="3:15" ht="15.6">
      <c r="C1016" s="10"/>
      <c r="D1016" s="10"/>
      <c r="E1016" s="10"/>
      <c r="F1016" s="10"/>
      <c r="L1016" s="32"/>
      <c r="O1016" s="25"/>
    </row>
    <row r="1017" spans="3:15" ht="15.6">
      <c r="C1017" s="10"/>
      <c r="D1017" s="10"/>
      <c r="E1017" s="10"/>
      <c r="F1017" s="10"/>
      <c r="L1017" s="32"/>
      <c r="O1017" s="25"/>
    </row>
    <row r="1018" spans="3:15" ht="15.6">
      <c r="C1018" s="10"/>
      <c r="D1018" s="10"/>
      <c r="E1018" s="10"/>
      <c r="F1018" s="10"/>
      <c r="L1018" s="32"/>
      <c r="O1018" s="25"/>
    </row>
    <row r="1019" spans="3:15" ht="15.6">
      <c r="C1019" s="10"/>
      <c r="D1019" s="10"/>
      <c r="E1019" s="10"/>
      <c r="F1019" s="10"/>
      <c r="L1019" s="32"/>
      <c r="O1019" s="25"/>
    </row>
    <row r="1020" spans="3:15" ht="15.6">
      <c r="C1020" s="10"/>
      <c r="D1020" s="10"/>
      <c r="E1020" s="10"/>
      <c r="F1020" s="10"/>
      <c r="L1020" s="32"/>
      <c r="O1020" s="25"/>
    </row>
    <row r="1021" spans="3:15" ht="15.6">
      <c r="C1021" s="10"/>
      <c r="D1021" s="10"/>
      <c r="E1021" s="10"/>
      <c r="F1021" s="10"/>
      <c r="L1021" s="32"/>
      <c r="O1021" s="25"/>
    </row>
    <row r="1022" spans="3:15" ht="15.6">
      <c r="C1022" s="10"/>
      <c r="D1022" s="10"/>
      <c r="E1022" s="10"/>
      <c r="F1022" s="10"/>
      <c r="L1022" s="32"/>
      <c r="O1022" s="25"/>
    </row>
    <row r="1023" spans="3:15" ht="15.6">
      <c r="C1023" s="10"/>
      <c r="D1023" s="10"/>
      <c r="E1023" s="10"/>
      <c r="F1023" s="10"/>
      <c r="L1023" s="32"/>
      <c r="O1023" s="25"/>
    </row>
    <row r="1024" spans="3:15" ht="15.6">
      <c r="C1024" s="10"/>
      <c r="D1024" s="10"/>
      <c r="E1024" s="10"/>
      <c r="F1024" s="10"/>
      <c r="L1024" s="32"/>
      <c r="O1024" s="25"/>
    </row>
    <row r="1025" spans="3:15" ht="15.6">
      <c r="C1025" s="10"/>
      <c r="D1025" s="10"/>
      <c r="E1025" s="10"/>
      <c r="F1025" s="10"/>
      <c r="L1025" s="32"/>
      <c r="O1025" s="25"/>
    </row>
    <row r="1026" spans="3:15" ht="15.6">
      <c r="C1026" s="22"/>
      <c r="D1026" s="22"/>
      <c r="E1026" s="22"/>
      <c r="F1026" s="22"/>
      <c r="L1026" s="33"/>
      <c r="O1026" s="25"/>
    </row>
    <row r="1027" spans="3:15" ht="15.6">
      <c r="C1027" s="22"/>
      <c r="D1027" s="22"/>
      <c r="E1027" s="22"/>
      <c r="F1027" s="22"/>
      <c r="L1027" s="33"/>
      <c r="O1027" s="25"/>
    </row>
    <row r="1028" spans="3:15" ht="15.6">
      <c r="C1028" s="10"/>
      <c r="D1028" s="10"/>
      <c r="E1028" s="10"/>
      <c r="F1028" s="10"/>
      <c r="L1028" s="32"/>
      <c r="O1028" s="25"/>
    </row>
    <row r="1029" spans="3:15" ht="15.6">
      <c r="C1029" s="10"/>
      <c r="D1029" s="10"/>
      <c r="E1029" s="10"/>
      <c r="F1029" s="10"/>
      <c r="L1029" s="32"/>
      <c r="O1029" s="25"/>
    </row>
    <row r="1030" spans="3:15" ht="15.6">
      <c r="C1030" s="10"/>
      <c r="D1030" s="10"/>
      <c r="E1030" s="10"/>
      <c r="F1030" s="10"/>
      <c r="L1030" s="32"/>
      <c r="O1030" s="25"/>
    </row>
    <row r="1031" spans="3:15" ht="15.6">
      <c r="C1031" s="10"/>
      <c r="D1031" s="10"/>
      <c r="E1031" s="10"/>
      <c r="F1031" s="10"/>
      <c r="L1031" s="32"/>
      <c r="O1031" s="25"/>
    </row>
    <row r="1032" spans="3:15" ht="15.6">
      <c r="C1032" s="10"/>
      <c r="D1032" s="10"/>
      <c r="E1032" s="10"/>
      <c r="F1032" s="10"/>
      <c r="L1032" s="32"/>
      <c r="O1032" s="25"/>
    </row>
    <row r="1033" spans="3:15" ht="15.6">
      <c r="C1033" s="10"/>
      <c r="D1033" s="10"/>
      <c r="E1033" s="10"/>
      <c r="F1033" s="10"/>
      <c r="L1033" s="32"/>
      <c r="O1033" s="25"/>
    </row>
    <row r="1034" spans="3:15" ht="15.6">
      <c r="C1034" s="10"/>
      <c r="D1034" s="10"/>
      <c r="E1034" s="10"/>
      <c r="F1034" s="10"/>
      <c r="L1034" s="32"/>
      <c r="O1034" s="25"/>
    </row>
    <row r="1035" spans="3:15" ht="15.6">
      <c r="C1035" s="10"/>
      <c r="D1035" s="10"/>
      <c r="E1035" s="10"/>
      <c r="F1035" s="10"/>
      <c r="L1035" s="32"/>
      <c r="O1035" s="25"/>
    </row>
    <row r="1036" spans="3:15" ht="15.6">
      <c r="C1036" s="10"/>
      <c r="D1036" s="10"/>
      <c r="E1036" s="10"/>
      <c r="F1036" s="10"/>
      <c r="L1036" s="32"/>
      <c r="O1036" s="25"/>
    </row>
    <row r="1037" spans="3:15" ht="15.6">
      <c r="C1037" s="10"/>
      <c r="D1037" s="10"/>
      <c r="E1037" s="10"/>
      <c r="F1037" s="10"/>
      <c r="L1037" s="32"/>
      <c r="O1037" s="25"/>
    </row>
    <row r="1038" spans="3:15" ht="15.6">
      <c r="C1038" s="10"/>
      <c r="D1038" s="10"/>
      <c r="E1038" s="10"/>
      <c r="F1038" s="10"/>
      <c r="L1038" s="32"/>
      <c r="O1038" s="25"/>
    </row>
    <row r="1039" spans="3:15" ht="15.6">
      <c r="C1039" s="22"/>
      <c r="D1039" s="22"/>
      <c r="E1039" s="22"/>
      <c r="F1039" s="22"/>
      <c r="L1039" s="33"/>
      <c r="O1039" s="25"/>
    </row>
    <row r="1040" spans="3:15" ht="15.6">
      <c r="C1040" s="10"/>
      <c r="D1040" s="10"/>
      <c r="E1040" s="10"/>
      <c r="F1040" s="10"/>
      <c r="L1040" s="32"/>
      <c r="O1040" s="25"/>
    </row>
    <row r="1041" spans="3:16" ht="15.6">
      <c r="C1041" s="10"/>
      <c r="D1041" s="10"/>
      <c r="E1041" s="10"/>
      <c r="F1041" s="10"/>
      <c r="L1041" s="32"/>
      <c r="O1041" s="25"/>
    </row>
    <row r="1042" spans="3:16" ht="15.6">
      <c r="C1042" s="10"/>
      <c r="D1042" s="10"/>
      <c r="E1042" s="10"/>
      <c r="F1042" s="10"/>
      <c r="L1042" s="32"/>
      <c r="O1042" s="25"/>
    </row>
    <row r="1043" spans="3:16" ht="15.6">
      <c r="C1043" s="10"/>
      <c r="D1043" s="10"/>
      <c r="E1043" s="10"/>
      <c r="F1043" s="10"/>
      <c r="L1043" s="32"/>
      <c r="O1043" s="25"/>
    </row>
    <row r="1044" spans="3:16" ht="15.6">
      <c r="C1044" s="22"/>
      <c r="D1044" s="22"/>
      <c r="E1044" s="22"/>
      <c r="F1044" s="22"/>
      <c r="L1044" s="33"/>
      <c r="O1044" s="25"/>
      <c r="P1044" s="36"/>
    </row>
    <row r="1045" spans="3:16" ht="15.6">
      <c r="C1045" s="22"/>
      <c r="D1045" s="22"/>
      <c r="E1045" s="22"/>
      <c r="F1045" s="22"/>
      <c r="L1045" s="33"/>
      <c r="O1045" s="25"/>
      <c r="P1045" s="36"/>
    </row>
    <row r="1046" spans="3:16" ht="15.6">
      <c r="C1046" s="10"/>
      <c r="D1046" s="10"/>
      <c r="E1046" s="10"/>
      <c r="F1046" s="10"/>
      <c r="L1046" s="32"/>
      <c r="O1046" s="25"/>
    </row>
    <row r="1047" spans="3:16" ht="15.6">
      <c r="C1047" s="10"/>
      <c r="D1047" s="10"/>
      <c r="E1047" s="10"/>
      <c r="F1047" s="10"/>
      <c r="L1047" s="32"/>
      <c r="O1047" s="25"/>
    </row>
    <row r="1048" spans="3:16" ht="15.6">
      <c r="C1048" s="22"/>
      <c r="D1048" s="22"/>
      <c r="E1048" s="22"/>
      <c r="F1048" s="22"/>
      <c r="L1048" s="33"/>
      <c r="O1048" s="25"/>
    </row>
    <row r="1049" spans="3:16" ht="15.6">
      <c r="C1049" s="10"/>
      <c r="D1049" s="10"/>
      <c r="E1049" s="10"/>
      <c r="F1049" s="10"/>
      <c r="L1049" s="32"/>
      <c r="O1049" s="25"/>
    </row>
    <row r="1050" spans="3:16" ht="15.6">
      <c r="C1050" s="10"/>
      <c r="D1050" s="10"/>
      <c r="E1050" s="10"/>
      <c r="F1050" s="10"/>
      <c r="L1050" s="32"/>
      <c r="O1050" s="25"/>
    </row>
    <row r="1051" spans="3:16" ht="15.6">
      <c r="C1051" s="10"/>
      <c r="D1051" s="10"/>
      <c r="E1051" s="10"/>
      <c r="F1051" s="10"/>
      <c r="L1051" s="32"/>
      <c r="O1051" s="25"/>
    </row>
    <row r="1052" spans="3:16" ht="15.6">
      <c r="C1052" s="10"/>
      <c r="D1052" s="10"/>
      <c r="E1052" s="10"/>
      <c r="F1052" s="10"/>
      <c r="L1052" s="32"/>
      <c r="O1052" s="25"/>
    </row>
    <row r="1053" spans="3:16" ht="15.6">
      <c r="C1053" s="10"/>
      <c r="D1053" s="10"/>
      <c r="E1053" s="10"/>
      <c r="F1053" s="10"/>
      <c r="L1053" s="32"/>
      <c r="O1053" s="25"/>
    </row>
    <row r="1054" spans="3:16" ht="15.6">
      <c r="C1054" s="10"/>
      <c r="D1054" s="10"/>
      <c r="E1054" s="10"/>
      <c r="F1054" s="10"/>
      <c r="L1054" s="32"/>
      <c r="O1054" s="25"/>
    </row>
    <row r="1055" spans="3:16" ht="15.6">
      <c r="C1055" s="10"/>
      <c r="D1055" s="10"/>
      <c r="E1055" s="10"/>
      <c r="F1055" s="10"/>
      <c r="L1055" s="32"/>
      <c r="O1055" s="25"/>
    </row>
    <row r="1056" spans="3:16" ht="15.6">
      <c r="C1056" s="10"/>
      <c r="D1056" s="10"/>
      <c r="E1056" s="10"/>
      <c r="F1056" s="10"/>
      <c r="L1056" s="32"/>
      <c r="O1056" s="25"/>
    </row>
    <row r="1057" spans="3:15" ht="15.6">
      <c r="C1057" s="10"/>
      <c r="D1057" s="10"/>
      <c r="E1057" s="10"/>
      <c r="F1057" s="10"/>
      <c r="L1057" s="32"/>
      <c r="O1057" s="25"/>
    </row>
    <row r="1058" spans="3:15" ht="15.6">
      <c r="C1058" s="10"/>
      <c r="D1058" s="10"/>
      <c r="E1058" s="10"/>
      <c r="F1058" s="10"/>
      <c r="L1058" s="32"/>
      <c r="O1058" s="25"/>
    </row>
    <row r="1059" spans="3:15" ht="15.6">
      <c r="C1059" s="10"/>
      <c r="D1059" s="10"/>
      <c r="E1059" s="10"/>
      <c r="F1059" s="10"/>
      <c r="L1059" s="32"/>
      <c r="O1059" s="25"/>
    </row>
    <row r="1060" spans="3:15" ht="15.6">
      <c r="C1060" s="10"/>
      <c r="D1060" s="10"/>
      <c r="E1060" s="10"/>
      <c r="F1060" s="10"/>
      <c r="L1060" s="32"/>
      <c r="O1060" s="25"/>
    </row>
    <row r="1061" spans="3:15" ht="15.6">
      <c r="C1061" s="10"/>
      <c r="D1061" s="10"/>
      <c r="E1061" s="10"/>
      <c r="F1061" s="10"/>
      <c r="L1061" s="32"/>
      <c r="O1061" s="25"/>
    </row>
    <row r="1062" spans="3:15" ht="15.6">
      <c r="C1062" s="10"/>
      <c r="D1062" s="10"/>
      <c r="E1062" s="10"/>
      <c r="F1062" s="10"/>
      <c r="L1062" s="32"/>
      <c r="O1062" s="25"/>
    </row>
    <row r="1063" spans="3:15" ht="15.6">
      <c r="C1063" s="10"/>
      <c r="D1063" s="10"/>
      <c r="E1063" s="10"/>
      <c r="F1063" s="10"/>
      <c r="L1063" s="32"/>
      <c r="O1063" s="25"/>
    </row>
    <row r="1064" spans="3:15" ht="15.6">
      <c r="C1064" s="10"/>
      <c r="D1064" s="10"/>
      <c r="E1064" s="10"/>
      <c r="F1064" s="10"/>
      <c r="L1064" s="32"/>
      <c r="O1064" s="25"/>
    </row>
    <row r="1065" spans="3:15" ht="15.6">
      <c r="C1065" s="10"/>
      <c r="D1065" s="10"/>
      <c r="E1065" s="10"/>
      <c r="F1065" s="10"/>
      <c r="L1065" s="32"/>
      <c r="O1065" s="25"/>
    </row>
    <row r="1066" spans="3:15" ht="15.6">
      <c r="C1066" s="10"/>
      <c r="D1066" s="10"/>
      <c r="E1066" s="10"/>
      <c r="F1066" s="10"/>
      <c r="L1066" s="32"/>
      <c r="O1066" s="25"/>
    </row>
    <row r="1067" spans="3:15" ht="15.6">
      <c r="C1067" s="10"/>
      <c r="D1067" s="10"/>
      <c r="E1067" s="10"/>
      <c r="F1067" s="10"/>
      <c r="L1067" s="32"/>
      <c r="O1067" s="25"/>
    </row>
    <row r="1068" spans="3:15" ht="15.6">
      <c r="C1068" s="10"/>
      <c r="D1068" s="10"/>
      <c r="E1068" s="10"/>
      <c r="F1068" s="10"/>
      <c r="L1068" s="32"/>
      <c r="O1068" s="25"/>
    </row>
    <row r="1069" spans="3:15" ht="15.6">
      <c r="C1069" s="10"/>
      <c r="D1069" s="10"/>
      <c r="E1069" s="10"/>
      <c r="F1069" s="10"/>
      <c r="L1069" s="32"/>
      <c r="O1069" s="25"/>
    </row>
    <row r="1070" spans="3:15" ht="15.6">
      <c r="C1070" s="10"/>
      <c r="D1070" s="10"/>
      <c r="E1070" s="10"/>
      <c r="F1070" s="10"/>
      <c r="L1070" s="32"/>
      <c r="O1070" s="25"/>
    </row>
    <row r="1071" spans="3:15" ht="15.6">
      <c r="C1071" s="10"/>
      <c r="D1071" s="10"/>
      <c r="E1071" s="10"/>
      <c r="F1071" s="10"/>
      <c r="L1071" s="32"/>
      <c r="O1071" s="25"/>
    </row>
    <row r="1072" spans="3:15" ht="15.6">
      <c r="C1072" s="10"/>
      <c r="D1072" s="10"/>
      <c r="E1072" s="10"/>
      <c r="F1072" s="10"/>
      <c r="L1072" s="32"/>
      <c r="O1072" s="25"/>
    </row>
    <row r="1073" spans="3:15" ht="15.6">
      <c r="C1073" s="10"/>
      <c r="D1073" s="10"/>
      <c r="E1073" s="10"/>
      <c r="F1073" s="10"/>
      <c r="L1073" s="32"/>
      <c r="O1073" s="25"/>
    </row>
    <row r="1074" spans="3:15" ht="15.6">
      <c r="C1074" s="10"/>
      <c r="D1074" s="10"/>
      <c r="E1074" s="10"/>
      <c r="F1074" s="10"/>
      <c r="L1074" s="32"/>
      <c r="O1074" s="25"/>
    </row>
    <row r="1075" spans="3:15" ht="15.6">
      <c r="C1075" s="10"/>
      <c r="D1075" s="10"/>
      <c r="E1075" s="10"/>
      <c r="F1075" s="10"/>
      <c r="L1075" s="32"/>
      <c r="O1075" s="25"/>
    </row>
    <row r="1076" spans="3:15" ht="15.6">
      <c r="C1076" s="10"/>
      <c r="D1076" s="10"/>
      <c r="E1076" s="10"/>
      <c r="F1076" s="10"/>
      <c r="L1076" s="32"/>
      <c r="O1076" s="25"/>
    </row>
    <row r="1077" spans="3:15" ht="15.6">
      <c r="C1077" s="22"/>
      <c r="D1077" s="22"/>
      <c r="E1077" s="22"/>
      <c r="F1077" s="22"/>
      <c r="L1077" s="33"/>
      <c r="O1077" s="25"/>
    </row>
    <row r="1078" spans="3:15" ht="15.6">
      <c r="C1078" s="10"/>
      <c r="D1078" s="10"/>
      <c r="E1078" s="10"/>
      <c r="F1078" s="10"/>
      <c r="L1078" s="32"/>
      <c r="O1078" s="25"/>
    </row>
    <row r="1079" spans="3:15" ht="15.6">
      <c r="C1079" s="10"/>
      <c r="D1079" s="10"/>
      <c r="E1079" s="10"/>
      <c r="F1079" s="10"/>
      <c r="L1079" s="32"/>
      <c r="O1079" s="25"/>
    </row>
    <row r="1080" spans="3:15" ht="15.6">
      <c r="C1080" s="10"/>
      <c r="D1080" s="10"/>
      <c r="E1080" s="10"/>
      <c r="F1080" s="10"/>
      <c r="L1080" s="32"/>
      <c r="O1080" s="25"/>
    </row>
    <row r="1081" spans="3:15" ht="15.6">
      <c r="C1081" s="10"/>
      <c r="D1081" s="10"/>
      <c r="E1081" s="10"/>
      <c r="F1081" s="10"/>
      <c r="L1081" s="32"/>
      <c r="O1081" s="25"/>
    </row>
    <row r="1082" spans="3:15" ht="15.6">
      <c r="C1082" s="10"/>
      <c r="D1082" s="10"/>
      <c r="E1082" s="10"/>
      <c r="F1082" s="10"/>
      <c r="L1082" s="32"/>
      <c r="O1082" s="25"/>
    </row>
    <row r="1083" spans="3:15" ht="15.6">
      <c r="C1083" s="10"/>
      <c r="D1083" s="10"/>
      <c r="E1083" s="10"/>
      <c r="F1083" s="10"/>
      <c r="L1083" s="32"/>
      <c r="O1083" s="25"/>
    </row>
    <row r="1084" spans="3:15" ht="15.6">
      <c r="C1084" s="10"/>
      <c r="D1084" s="10"/>
      <c r="E1084" s="10"/>
      <c r="F1084" s="10"/>
      <c r="L1084" s="32"/>
      <c r="O1084" s="25"/>
    </row>
    <row r="1085" spans="3:15" ht="15.6">
      <c r="C1085" s="10"/>
      <c r="D1085" s="10"/>
      <c r="E1085" s="10"/>
      <c r="F1085" s="10"/>
      <c r="L1085" s="32"/>
      <c r="O1085" s="25"/>
    </row>
    <row r="1086" spans="3:15" ht="15.6">
      <c r="C1086" s="10"/>
      <c r="D1086" s="10"/>
      <c r="E1086" s="10"/>
      <c r="F1086" s="10"/>
      <c r="L1086" s="32"/>
      <c r="O1086" s="25"/>
    </row>
    <row r="1087" spans="3:15" ht="15.6">
      <c r="C1087" s="10"/>
      <c r="D1087" s="10"/>
      <c r="E1087" s="10"/>
      <c r="F1087" s="10"/>
      <c r="L1087" s="32"/>
      <c r="O1087" s="25"/>
    </row>
    <row r="1088" spans="3:15" ht="15.6">
      <c r="C1088" s="10"/>
      <c r="D1088" s="10"/>
      <c r="E1088" s="10"/>
      <c r="F1088" s="10"/>
      <c r="L1088" s="32"/>
      <c r="O1088" s="25"/>
    </row>
    <row r="1089" spans="3:16" ht="15.6">
      <c r="C1089" s="10"/>
      <c r="D1089" s="10"/>
      <c r="E1089" s="10"/>
      <c r="F1089" s="10"/>
      <c r="L1089" s="32"/>
      <c r="O1089" s="25"/>
    </row>
    <row r="1090" spans="3:16" ht="15.6">
      <c r="C1090" s="22"/>
      <c r="D1090" s="22"/>
      <c r="E1090" s="22"/>
      <c r="F1090" s="22"/>
      <c r="L1090" s="33"/>
      <c r="O1090" s="25"/>
      <c r="P1090" s="36"/>
    </row>
    <row r="1091" spans="3:16" ht="15.6">
      <c r="C1091" s="10"/>
      <c r="D1091" s="10"/>
      <c r="E1091" s="10"/>
      <c r="F1091" s="10"/>
      <c r="L1091" s="32"/>
      <c r="O1091" s="25"/>
      <c r="P1091" s="36"/>
    </row>
    <row r="1092" spans="3:16" ht="15.6">
      <c r="C1092" s="10"/>
      <c r="D1092" s="10"/>
      <c r="E1092" s="10"/>
      <c r="F1092" s="10"/>
      <c r="L1092" s="32"/>
      <c r="O1092" s="25"/>
      <c r="P1092" s="36"/>
    </row>
    <row r="1093" spans="3:16" ht="15.6">
      <c r="C1093" s="22"/>
      <c r="D1093" s="22"/>
      <c r="E1093" s="22"/>
      <c r="F1093" s="22"/>
      <c r="L1093" s="33"/>
      <c r="O1093" s="25"/>
      <c r="P1093" s="36"/>
    </row>
    <row r="1094" spans="3:16" ht="15.6">
      <c r="C1094" s="22"/>
      <c r="D1094" s="22"/>
      <c r="E1094" s="22"/>
      <c r="F1094" s="22"/>
      <c r="L1094" s="33"/>
      <c r="O1094" s="25"/>
      <c r="P1094" s="36"/>
    </row>
    <row r="1095" spans="3:16" ht="15.6">
      <c r="C1095" s="10"/>
      <c r="D1095" s="10"/>
      <c r="E1095" s="10"/>
      <c r="F1095" s="10"/>
      <c r="L1095" s="32"/>
      <c r="O1095" s="25"/>
    </row>
    <row r="1096" spans="3:16" ht="15.6">
      <c r="C1096" s="10"/>
      <c r="D1096" s="10"/>
      <c r="E1096" s="10"/>
      <c r="F1096" s="10"/>
      <c r="L1096" s="32"/>
      <c r="O1096" s="25"/>
    </row>
    <row r="1097" spans="3:16" ht="15.6">
      <c r="C1097" s="22"/>
      <c r="D1097" s="22"/>
      <c r="E1097" s="22"/>
      <c r="F1097" s="22"/>
      <c r="L1097" s="33"/>
      <c r="O1097" s="25"/>
    </row>
    <row r="1098" spans="3:16" ht="15.6">
      <c r="C1098" s="10"/>
      <c r="D1098" s="10"/>
      <c r="E1098" s="10"/>
      <c r="F1098" s="10"/>
      <c r="L1098" s="32"/>
      <c r="O1098" s="25"/>
    </row>
    <row r="1099" spans="3:16" ht="15.6">
      <c r="C1099" s="10"/>
      <c r="D1099" s="10"/>
      <c r="E1099" s="10"/>
      <c r="F1099" s="10"/>
      <c r="L1099" s="32"/>
      <c r="O1099" s="25"/>
    </row>
    <row r="1100" spans="3:16" ht="15.6">
      <c r="C1100" s="10"/>
      <c r="D1100" s="10"/>
      <c r="E1100" s="10"/>
      <c r="F1100" s="10"/>
      <c r="L1100" s="32"/>
      <c r="O1100" s="25"/>
    </row>
    <row r="1101" spans="3:16" ht="15.6">
      <c r="C1101" s="10"/>
      <c r="D1101" s="10"/>
      <c r="E1101" s="10"/>
      <c r="F1101" s="10"/>
      <c r="L1101" s="32"/>
      <c r="O1101" s="25"/>
    </row>
    <row r="1102" spans="3:16" ht="15.6">
      <c r="C1102" s="10"/>
      <c r="D1102" s="10"/>
      <c r="E1102" s="10"/>
      <c r="F1102" s="10"/>
      <c r="L1102" s="32"/>
      <c r="O1102" s="25"/>
    </row>
    <row r="1103" spans="3:16" ht="15.6">
      <c r="C1103" s="22"/>
      <c r="D1103" s="22"/>
      <c r="E1103" s="22"/>
      <c r="F1103" s="22"/>
      <c r="L1103" s="33"/>
      <c r="O1103" s="25"/>
    </row>
    <row r="1104" spans="3:16" ht="15.6">
      <c r="C1104" s="10"/>
      <c r="D1104" s="10"/>
      <c r="E1104" s="10"/>
      <c r="F1104" s="10"/>
      <c r="L1104" s="32"/>
      <c r="O1104" s="25"/>
    </row>
    <row r="1105" spans="3:16" ht="15.6">
      <c r="C1105" s="10"/>
      <c r="D1105" s="10"/>
      <c r="E1105" s="10"/>
      <c r="F1105" s="10"/>
      <c r="L1105" s="32"/>
      <c r="O1105" s="25"/>
    </row>
    <row r="1106" spans="3:16" ht="15.6">
      <c r="C1106" s="22"/>
      <c r="D1106" s="22"/>
      <c r="E1106" s="22"/>
      <c r="F1106" s="22"/>
      <c r="L1106" s="33"/>
      <c r="O1106" s="25"/>
    </row>
    <row r="1107" spans="3:16" ht="15.6">
      <c r="C1107" s="22"/>
      <c r="D1107" s="22"/>
      <c r="E1107" s="22"/>
      <c r="F1107" s="22"/>
      <c r="L1107" s="33"/>
      <c r="O1107" s="25"/>
    </row>
    <row r="1108" spans="3:16" ht="15.6">
      <c r="C1108" s="10"/>
      <c r="D1108" s="10"/>
      <c r="E1108" s="10"/>
      <c r="F1108" s="10"/>
      <c r="L1108" s="32"/>
      <c r="O1108" s="25"/>
    </row>
    <row r="1109" spans="3:16" ht="15.6">
      <c r="C1109" s="22"/>
      <c r="D1109" s="22"/>
      <c r="E1109" s="22"/>
      <c r="F1109" s="22"/>
      <c r="L1109" s="33"/>
      <c r="O1109" s="25"/>
    </row>
    <row r="1110" spans="3:16" ht="15.6">
      <c r="C1110" s="10"/>
      <c r="D1110" s="10"/>
      <c r="E1110" s="10"/>
      <c r="F1110" s="10"/>
      <c r="L1110" s="32"/>
      <c r="O1110" s="25"/>
    </row>
    <row r="1111" spans="3:16" ht="15.6">
      <c r="C1111" s="22"/>
      <c r="D1111" s="22"/>
      <c r="E1111" s="22"/>
      <c r="F1111" s="22"/>
      <c r="L1111" s="33"/>
      <c r="O1111" s="25"/>
    </row>
    <row r="1112" spans="3:16" ht="15.6">
      <c r="C1112" s="22"/>
      <c r="D1112" s="22"/>
      <c r="E1112" s="22"/>
      <c r="F1112" s="22"/>
      <c r="L1112" s="33"/>
      <c r="O1112" s="25"/>
    </row>
    <row r="1113" spans="3:16" ht="15.6">
      <c r="C1113" s="10"/>
      <c r="D1113" s="10"/>
      <c r="E1113" s="10"/>
      <c r="F1113" s="10"/>
      <c r="L1113" s="32"/>
      <c r="O1113" s="25"/>
    </row>
    <row r="1114" spans="3:16">
      <c r="O1114" s="25"/>
    </row>
    <row r="1115" spans="3:16" ht="15.6">
      <c r="C1115" s="23"/>
      <c r="L1115" s="24"/>
      <c r="O1115" s="25"/>
      <c r="P1115" s="36"/>
    </row>
    <row r="1116" spans="3:16">
      <c r="L1116" s="25"/>
    </row>
    <row r="1117" spans="3:16">
      <c r="L1117" s="26"/>
    </row>
  </sheetData>
  <mergeCells count="6">
    <mergeCell ref="E1:L1"/>
    <mergeCell ref="A800:L800"/>
    <mergeCell ref="M1:N1"/>
    <mergeCell ref="F2:N2"/>
    <mergeCell ref="L3:N3"/>
    <mergeCell ref="A5:N5"/>
  </mergeCells>
  <phoneticPr fontId="2" type="noConversion"/>
  <pageMargins left="0.23622047244094491" right="0.23622047244094491" top="0.15748031496062992" bottom="0.15748031496062992" header="0.19685039370078741" footer="0.15748031496062992"/>
  <pageSetup paperSize="9" scale="7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Егай Мария Владимировна</cp:lastModifiedBy>
  <cp:lastPrinted>2017-03-02T13:15:30Z</cp:lastPrinted>
  <dcterms:created xsi:type="dcterms:W3CDTF">2015-11-16T12:40:36Z</dcterms:created>
  <dcterms:modified xsi:type="dcterms:W3CDTF">2017-03-29T13:41:09Z</dcterms:modified>
</cp:coreProperties>
</file>