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05" windowWidth="7680" windowHeight="867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<sst xmlns="http://schemas.openxmlformats.org/spreadsheetml/2006/main" count="1402" uniqueCount="617">
  <si>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</si>
  <si>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</si>
  <si>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(Иные бюджетные ассигнования)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</si>
  <si>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</si>
  <si>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1600И59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</si>
  <si>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</si>
  <si>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</si>
  <si>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Подпрограмма "Совершенствование организации питания обучающихся общеобразовательных учреждений округа Муром на 2015-2017 годы"</t>
  </si>
  <si>
    <t>1710Ш59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</si>
  <si>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</si>
  <si>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1717051</t>
  </si>
  <si>
    <t>Подпрограмма "Совершенствование организации питания воспитанников дошкольных образовательных учреждений округа Муром на 2015-2017 годы"</t>
  </si>
  <si>
    <t>1720000</t>
  </si>
  <si>
    <t>1720Д59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</si>
  <si>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</si>
  <si>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1710000</t>
  </si>
  <si>
    <t>1830Ш59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</si>
  <si>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</si>
  <si>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округа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</si>
  <si>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</si>
  <si>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2000011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</si>
  <si>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</si>
  <si>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2000019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</si>
  <si>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</si>
  <si>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</si>
  <si>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</si>
  <si>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</si>
  <si>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</si>
  <si>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2000Ц59</t>
  </si>
  <si>
    <t>Подпрограмма "Техническое обслуживание и энергосбережение сетей уличного освещения на 2015-2017 годы"</t>
  </si>
  <si>
    <t>2010000</t>
  </si>
  <si>
    <t>2011009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</si>
  <si>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"Муниципальное управление" на 2015-2017 годы (Иные бюджетные ассигнования)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</si>
  <si>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</si>
  <si>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</si>
  <si>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0809502</t>
  </si>
  <si>
    <t>0809602</t>
  </si>
  <si>
    <t>Исполнение судебных актов в рамках муниципальной программы "Совершенствование управления муниципальной собственностью муниципального образования округа Муром на 2015-2017 годы" (Иные бюджетные ассигнования)</t>
  </si>
  <si>
    <t>2601004</t>
  </si>
  <si>
    <t>9995224</t>
  </si>
  <si>
    <t>2001004</t>
  </si>
  <si>
    <t>Исполнение судебных актов в рамках муниципальной программы "Благоустройство территории округа Муром на 2015-2017 годы" (Иные бюджетные ассигнования)</t>
  </si>
  <si>
    <t>Обеспечение деятельности 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  (Предоставление субсидий бюджетным, автономным учреждениям и иным некоммерческим организациям)</t>
  </si>
  <si>
    <t>0907029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</si>
  <si>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</si>
  <si>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(Предоставление субсидий бюджетным, автономным учреждениям и иным некоммерческим организациям)</t>
  </si>
  <si>
    <t>9997004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</si>
  <si>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в 2015-2017 годах"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</si>
  <si>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 с учетом необходимости развития малоэтажного жилищного строительства на 2015-2017 годы" муниципальной программы "Переселение граждан из аварийного жилищного фонда в 2015-2017 годах"(Капитальные вложения в объекты государственной (муниципальной) собственности)</t>
  </si>
  <si>
    <t>0819603</t>
  </si>
  <si>
    <t>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</si>
  <si>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1827096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</si>
  <si>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</si>
  <si>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"Переселение граждан из аварийного жилищного фонда в 2015-2017 годах"</t>
  </si>
  <si>
    <t>Подпрограмма "Переселение граждан из аварийного жилищного фонда с учетом необходимости развития малоэтажного жилищного строительства на 2015-2017 годы"</t>
  </si>
  <si>
    <t>0810000</t>
  </si>
  <si>
    <t>0819503</t>
  </si>
  <si>
    <t>9995162</t>
  </si>
  <si>
    <t>Премирование победителей Всероссийского конкурса на звание "Самое благоустроенное городское (сельское) поселение России" в рамках непрограммных расходов органов местного самоуправления (Закупка товаров, работ и услуг для  обеспечения государственных (муниципальных) нужд)</t>
  </si>
  <si>
    <t>за счет средств бюджета округа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</si>
  <si>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</si>
  <si>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</si>
  <si>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2210019</t>
  </si>
  <si>
    <t>2210021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</si>
  <si>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</si>
  <si>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</si>
  <si>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</si>
  <si>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2210Ц59</t>
  </si>
  <si>
    <t>Подпрограмма "Оптимизация баланса образования, использования, обезвреживания, размещения отходов производства и потребления округа Муром на 2015-2017 годы"</t>
  </si>
  <si>
    <t>2020000</t>
  </si>
  <si>
    <t>400</t>
  </si>
  <si>
    <t>700</t>
  </si>
  <si>
    <t>1100659</t>
  </si>
  <si>
    <t>0100000</t>
  </si>
  <si>
    <t>0200000</t>
  </si>
  <si>
    <t>0300000</t>
  </si>
  <si>
    <t>0400000</t>
  </si>
  <si>
    <t>0500000</t>
  </si>
  <si>
    <t>0600000</t>
  </si>
  <si>
    <t>0700000</t>
  </si>
  <si>
    <t>0900000</t>
  </si>
  <si>
    <t>1000000</t>
  </si>
  <si>
    <t>1100000</t>
  </si>
  <si>
    <t>1200000</t>
  </si>
  <si>
    <t>1400000</t>
  </si>
  <si>
    <t>1500000</t>
  </si>
  <si>
    <t>1600000</t>
  </si>
  <si>
    <t>1700000</t>
  </si>
  <si>
    <t>1300000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</si>
  <si>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</si>
  <si>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</si>
  <si>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0800000</t>
  </si>
  <si>
    <t>1200159</t>
  </si>
  <si>
    <t>1201013</t>
  </si>
  <si>
    <t>1006</t>
  </si>
  <si>
    <t>1202007</t>
  </si>
  <si>
    <t>1202008</t>
  </si>
  <si>
    <t>1300Ф59</t>
  </si>
  <si>
    <t>1400021</t>
  </si>
  <si>
    <t>1510000</t>
  </si>
  <si>
    <t>1510011</t>
  </si>
  <si>
    <t>1510019</t>
  </si>
  <si>
    <t>1520000</t>
  </si>
  <si>
    <t>1521006</t>
  </si>
  <si>
    <t>1530000</t>
  </si>
  <si>
    <t>1607050</t>
  </si>
  <si>
    <t>1800000</t>
  </si>
  <si>
    <t>1800011</t>
  </si>
  <si>
    <t>1800019</t>
  </si>
  <si>
    <t>1800П59</t>
  </si>
  <si>
    <t>1800Ц59</t>
  </si>
  <si>
    <t>1805082</t>
  </si>
  <si>
    <t>1807007</t>
  </si>
  <si>
    <t>1807059</t>
  </si>
  <si>
    <t>1807082</t>
  </si>
  <si>
    <t>1810000</t>
  </si>
  <si>
    <t>1810Д21</t>
  </si>
  <si>
    <t>1810Д59</t>
  </si>
  <si>
    <t>1817049</t>
  </si>
  <si>
    <t>1817054</t>
  </si>
  <si>
    <t>1817056</t>
  </si>
  <si>
    <t>1817059</t>
  </si>
  <si>
    <t>1820000</t>
  </si>
  <si>
    <t>1820И59</t>
  </si>
  <si>
    <t>1820Ш59</t>
  </si>
  <si>
    <t>1827047</t>
  </si>
  <si>
    <t>1827059</t>
  </si>
  <si>
    <t>18Б7065</t>
  </si>
  <si>
    <t>18Г7065</t>
  </si>
  <si>
    <t>18Д7065</t>
  </si>
  <si>
    <t>0104</t>
  </si>
  <si>
    <t>9990000</t>
  </si>
  <si>
    <t>План на 2015 год</t>
  </si>
  <si>
    <t>% в расходах бюджета</t>
  </si>
  <si>
    <t>1900000</t>
  </si>
  <si>
    <t>1904006</t>
  </si>
  <si>
    <t>1904007</t>
  </si>
  <si>
    <t>9991004</t>
  </si>
  <si>
    <t>0907033</t>
  </si>
  <si>
    <t>1830000</t>
  </si>
  <si>
    <t>2000000</t>
  </si>
  <si>
    <t>0507005</t>
  </si>
  <si>
    <t>1827046</t>
  </si>
  <si>
    <t>0200021</t>
  </si>
  <si>
    <t>за счет средств округа</t>
  </si>
  <si>
    <t>0809503</t>
  </si>
  <si>
    <t>0809603</t>
  </si>
  <si>
    <t>0705020</t>
  </si>
  <si>
    <t>0707020</t>
  </si>
  <si>
    <t xml:space="preserve">Подпрограмма "Уплата взносов на капитальный ремонт общего имущества за жилые и нежилые помещения многоквартирных домов округа Муром" </t>
  </si>
  <si>
    <t>0310000</t>
  </si>
  <si>
    <t>2100000</t>
  </si>
  <si>
    <t>2100021</t>
  </si>
  <si>
    <t>за счет средств областного бюджета</t>
  </si>
  <si>
    <t>0907027</t>
  </si>
  <si>
    <t>2200000</t>
  </si>
  <si>
    <t>2107009</t>
  </si>
  <si>
    <t>Муниципальная инвестиционная программа округа Муром на 2015-2017 годы</t>
  </si>
  <si>
    <t>Муниципальная программа "Модернизация объектов коммунальной инфраструктуры округа Муром на 2015-2017 годы"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</si>
  <si>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</si>
  <si>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</si>
  <si>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
</t>
  </si>
  <si>
    <t>2315055</t>
  </si>
  <si>
    <t>2315134</t>
  </si>
  <si>
    <t>2315135</t>
  </si>
  <si>
    <t>2315930</t>
  </si>
  <si>
    <t>2317001</t>
  </si>
  <si>
    <t>2317002</t>
  </si>
  <si>
    <t>2317055</t>
  </si>
  <si>
    <t>2320159</t>
  </si>
  <si>
    <t>2320759</t>
  </si>
  <si>
    <t>2320Ц59</t>
  </si>
  <si>
    <t>2321002</t>
  </si>
  <si>
    <t>2321003</t>
  </si>
  <si>
    <t>2321014</t>
  </si>
  <si>
    <t>2321015</t>
  </si>
  <si>
    <t>2320000</t>
  </si>
  <si>
    <t>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</si>
  <si>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</si>
  <si>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</si>
  <si>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(Иные бюджетные ассигнования)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</si>
  <si>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</si>
  <si>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1202002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</si>
  <si>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</si>
  <si>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</si>
  <si>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1206004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</si>
  <si>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</si>
  <si>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1400259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</si>
  <si>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</si>
  <si>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</si>
  <si>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деятельности государственных (муниципальных) нужд)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</si>
  <si>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(Иные бюджетные ассигнования)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</si>
  <si>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</si>
  <si>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(Капитальные вложения в объекты государственной (муниципальной) собственности)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</si>
  <si>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</si>
  <si>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</si>
  <si>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2407039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</si>
  <si>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</si>
  <si>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2407058</t>
  </si>
  <si>
    <t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</si>
  <si>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"Молодежь Мурома" на 2015-2017 годы</t>
  </si>
  <si>
    <t>2500000</t>
  </si>
  <si>
    <t>Подпрограмма "Совершенствование и развитие мероприятий по работе с молодежью на 2015-2017 годы"</t>
  </si>
  <si>
    <t>2510000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</si>
  <si>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</si>
  <si>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</si>
  <si>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</si>
  <si>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</si>
  <si>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"Доступная среда" на 2015-2017 годы"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</si>
  <si>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</si>
  <si>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</si>
  <si>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</si>
  <si>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</si>
  <si>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2001005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</si>
  <si>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</si>
  <si>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0300021</t>
  </si>
  <si>
    <t>2310000</t>
  </si>
  <si>
    <t>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</si>
  <si>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</si>
  <si>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</si>
  <si>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</si>
  <si>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2510011</t>
  </si>
  <si>
    <t>2510019</t>
  </si>
  <si>
    <t>2510021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</si>
  <si>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</si>
  <si>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2510Ц59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</si>
  <si>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</si>
  <si>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</si>
  <si>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</si>
  <si>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Подпрограмма "Совершенствование и развитие дополнительного образования детей в МБОУДОД ЦРТДЮ "Орленок""</t>
  </si>
  <si>
    <t>2520000</t>
  </si>
  <si>
    <t>2520И59</t>
  </si>
  <si>
    <t>2527046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</si>
  <si>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</si>
  <si>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</si>
  <si>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содействия развитию малого и среднего предпринимательства в округе Муром на 2015-2017 годы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</si>
  <si>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</si>
  <si>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</si>
  <si>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</si>
  <si>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</si>
  <si>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</si>
  <si>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</si>
  <si>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</si>
  <si>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</t>
  </si>
  <si>
    <t>Обеспечение деятельности 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</si>
  <si>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</si>
  <si>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</si>
  <si>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2212001</t>
  </si>
  <si>
    <t>2217046</t>
  </si>
  <si>
    <t>Подпрограмма "Поддержка развития футбола в округе Муром на 2015-2017 годы"</t>
  </si>
  <si>
    <t>2220000</t>
  </si>
  <si>
    <t>2220021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</si>
  <si>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</si>
  <si>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Муниципальная программа округа Муром "Муниципальное управление" на 2015-2017 годы</t>
  </si>
  <si>
    <t>2300000</t>
  </si>
  <si>
    <t>0405</t>
  </si>
  <si>
    <t>Наименование</t>
  </si>
  <si>
    <t>0102</t>
  </si>
  <si>
    <t>0103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</si>
  <si>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</si>
  <si>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</si>
  <si>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</si>
  <si>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</si>
  <si>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</si>
  <si>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</si>
  <si>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</si>
  <si>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</si>
  <si>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</si>
  <si>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</si>
  <si>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</si>
  <si>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</si>
  <si>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</si>
  <si>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</si>
  <si>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</si>
  <si>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</si>
  <si>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</si>
  <si>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</si>
  <si>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</si>
  <si>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</si>
  <si>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</si>
  <si>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</si>
  <si>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</si>
  <si>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</si>
  <si>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</si>
  <si>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</si>
  <si>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</si>
  <si>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</si>
  <si>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</si>
  <si>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</si>
  <si>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</si>
  <si>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3</t>
  </si>
  <si>
    <t>4</t>
  </si>
  <si>
    <t>1</t>
  </si>
  <si>
    <t>5</t>
  </si>
  <si>
    <t>0000</t>
  </si>
  <si>
    <t>ВСЕГО РАСХОДОВ:</t>
  </si>
  <si>
    <t>0314</t>
  </si>
  <si>
    <t>0900021</t>
  </si>
  <si>
    <t>1202003</t>
  </si>
  <si>
    <t>9991001</t>
  </si>
  <si>
    <t>1000021</t>
  </si>
  <si>
    <t>0600021</t>
  </si>
  <si>
    <t>0400021</t>
  </si>
  <si>
    <t>0104001</t>
  </si>
  <si>
    <t>0204001</t>
  </si>
  <si>
    <t>0500021</t>
  </si>
  <si>
    <t>100</t>
  </si>
  <si>
    <t>200</t>
  </si>
  <si>
    <t>800</t>
  </si>
  <si>
    <t>300</t>
  </si>
  <si>
    <t>600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</si>
  <si>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</si>
  <si>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</si>
  <si>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2405144</t>
  </si>
  <si>
    <t>Комплектование книжных фондов библиотек муниципальных образований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</si>
  <si>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2407023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</si>
  <si>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</si>
  <si>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</si>
  <si>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</si>
  <si>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</si>
  <si>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организациям)</t>
  </si>
  <si>
    <t>Итого по программам</t>
  </si>
  <si>
    <t>Муниципальная программа "Совершенствование организации питания обучающихся и воспитанников образовательных учреждений  округа Муром на 2015-2017 годы"</t>
  </si>
  <si>
    <t>Муниципальная программа  "Энергосбережение и повышение энергетической эффективности в округе Муром на 2015-2017 годы"</t>
  </si>
  <si>
    <t>Установка частотных преобразователей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</si>
  <si>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Установка приборов учета тепловой энергии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</si>
  <si>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Муниципальная программа "Социальное жилье на 2015-2017 годы"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</si>
  <si>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</si>
  <si>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</si>
  <si>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2</t>
  </si>
  <si>
    <t>к Решению Совета народных депутатов</t>
  </si>
  <si>
    <t>Подпрограмма "Повышение эффективности бюджетных расходов округа Муром на период до 2017 года"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</si>
  <si>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</si>
  <si>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</si>
  <si>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</si>
  <si>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(Иные бюджетные ассигнования)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</si>
  <si>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</si>
  <si>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сохранения и развития культуры округа Муром на 2015-2017 годы</t>
  </si>
  <si>
    <t>2400000</t>
  </si>
  <si>
    <t>2400Б59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</si>
  <si>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</si>
  <si>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2400Г59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</si>
  <si>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</si>
  <si>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</si>
  <si>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2310011</t>
  </si>
  <si>
    <t>2330000</t>
  </si>
  <si>
    <t>2330559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</si>
  <si>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</si>
  <si>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"Совершенствование управления муниципальной собственностью муниципального образования округ Муром на 2015-2017 годы"</t>
  </si>
  <si>
    <t>2600000</t>
  </si>
  <si>
    <t>2600011</t>
  </si>
  <si>
    <t>2600019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</si>
  <si>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</si>
  <si>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</si>
  <si>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</si>
  <si>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</si>
  <si>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управления муниципальными финансами и муниципальным долгом округа Муром на 2015-2017 годы</t>
  </si>
  <si>
    <t xml:space="preserve">Подпрограмма "Нормативно-методическое обеспечение и организация бюджетного процесса в округе Муром на 2015-2017 годы" 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</si>
  <si>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</si>
  <si>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</si>
  <si>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</si>
  <si>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</si>
  <si>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</si>
  <si>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</si>
  <si>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</si>
  <si>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Исполнение судебных актов в рамках непрограммных расходов органов местного самоуправления (Иные бюджетные ассигнования)</t>
  </si>
  <si>
    <t>9991017</t>
  </si>
  <si>
    <t>0107</t>
  </si>
  <si>
    <t>9991018</t>
  </si>
  <si>
    <t>9990Ж59</t>
  </si>
  <si>
    <t>Обеспечение деятельности муниципального бюджетного учреждения "Муниципальный жилищный фонд" в рамках непрограммных расходов органов местного самоуправления (Предоставление субсидий бюджетным, автономным учреждениям и иным некоммерческим организациям)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</si>
  <si>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</si>
  <si>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</si>
  <si>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</si>
  <si>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</si>
  <si>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</si>
  <si>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</si>
  <si>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</si>
  <si>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</si>
  <si>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</si>
  <si>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</si>
  <si>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</si>
  <si>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</si>
  <si>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2400И59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</si>
  <si>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</si>
  <si>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</si>
  <si>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</si>
  <si>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2400Ц59</t>
  </si>
  <si>
    <t>2400011</t>
  </si>
  <si>
    <t>2400019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</si>
  <si>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годы"(Социальное обеспечение и иные выплаты населению)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</si>
  <si>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</si>
  <si>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"Развитие общего и дополнительного образования детей в округе Муром на 2015-2017 годы"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</si>
  <si>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</si>
  <si>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</si>
  <si>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</si>
  <si>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>2601007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</si>
  <si>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</si>
  <si>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</si>
  <si>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9900000</t>
  </si>
  <si>
    <t>99Д0000</t>
  </si>
  <si>
    <t>Непрограммные расходы органов местного самоуправления</t>
  </si>
  <si>
    <t>99Д0011</t>
  </si>
  <si>
    <t>99П0000</t>
  </si>
  <si>
    <t>99П0011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</si>
  <si>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</si>
  <si>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</si>
  <si>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</si>
  <si>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Муниципальная программа по обеспечению безопасности дорожного движения и транспортного обслуживания населения на территории округа Муром на 2015-2017 годы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</si>
  <si>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</si>
  <si>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</si>
  <si>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</si>
  <si>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</si>
  <si>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</si>
  <si>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</si>
  <si>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</si>
  <si>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0602005</t>
  </si>
  <si>
    <t>0607015</t>
  </si>
  <si>
    <t>0702009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</si>
  <si>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</si>
  <si>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</si>
  <si>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</si>
  <si>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</si>
  <si>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1200021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</si>
  <si>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</si>
  <si>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</si>
  <si>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Подпрограмма "Развитие дошкольного образования в округе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</si>
  <si>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</si>
  <si>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</si>
  <si>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</si>
  <si>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</si>
  <si>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</si>
  <si>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</si>
  <si>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</si>
  <si>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</si>
  <si>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</si>
  <si>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</si>
  <si>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</si>
  <si>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</si>
  <si>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Муниципальная программа "Комплексные меры по профилактике правонарушений в округе Муром на 2015-2017 годы"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</si>
  <si>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</si>
  <si>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</si>
  <si>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</si>
  <si>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</si>
  <si>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"Комплексные меры противодействия злоупотреблению наркотиками и их незаконному обороту в округе Муром на 2015-2017 годы"</t>
  </si>
  <si>
    <t>Расходы на проведение мероприятий 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</si>
  <si>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</si>
  <si>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</si>
  <si>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</si>
  <si>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</si>
  <si>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</si>
  <si>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</si>
  <si>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</si>
  <si>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</si>
  <si>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</si>
  <si>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</si>
  <si>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1531016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</si>
  <si>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 )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</si>
  <si>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</si>
  <si>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</si>
  <si>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</si>
  <si>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</si>
  <si>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</si>
  <si>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2030021</t>
  </si>
  <si>
    <t>Подпрограмма «Освещение вопросов деятельноcти Администрации округа Муром»</t>
  </si>
  <si>
    <t>Обеспечение деятельности муниципального автономного учреждения "Муромский меридиан" в рамках подпрограммы «Освещение вопросов деятельности Администрации округа Муром» муниципальной программы округа Муром "Муниципальное управление" на 2015-2017 годы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</si>
  <si>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</si>
  <si>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</si>
  <si>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</si>
  <si>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2051010</t>
  </si>
  <si>
    <t>2051011</t>
  </si>
  <si>
    <t>Муниципальная программа "Развитие физической культуры и спорта в округе Муром на 2015-2017 годы"</t>
  </si>
  <si>
    <t>Подпрограмма "Развитие массового спорта и формирования здорового образа жизни населения на 2015-2017 годы"</t>
  </si>
  <si>
    <t>2210000</t>
  </si>
  <si>
    <t>2210011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</si>
  <si>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"Муниципальное управление" на 2015-2017 годы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</si>
  <si>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</si>
  <si>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Реализация решения Совета народных депутатов от 25.09.2012 №252 "Об утверждении Положения о выплате денежной компенсации членам домовых и уличных комитетов в новой редакции"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(Социальное обеспечение и иные выплаты населению)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</si>
  <si>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</si>
  <si>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</si>
  <si>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</si>
  <si>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</si>
  <si>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Подпрограмма "Праздничное оформление и содержание мест массового отдыха населения округа Муром на 2015-2017 годы"</t>
  </si>
  <si>
    <t>2030000</t>
  </si>
  <si>
    <t>2030459</t>
  </si>
  <si>
    <t>Подпрограмма "Озеленение территории округа Муром на 2015-2017 годы"</t>
  </si>
  <si>
    <t>2040000</t>
  </si>
  <si>
    <t>2040459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</si>
  <si>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</si>
  <si>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Подпрограмма "Содержание и ремонт объектов благоустройства округа Муром на 2015-2017 годы"</t>
  </si>
  <si>
    <t>2050000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</si>
  <si>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</si>
  <si>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</si>
  <si>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Подпрограмма "Управление муниципальным долгом округа Муром в 2015-2017 годах"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</si>
  <si>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</si>
  <si>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Муниципальная программа "Совершенствование организации отдыха детей и подростков округа Муром на 2015-2017 годы"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</si>
  <si>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</si>
  <si>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"Развитие образования в округе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</si>
  <si>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</si>
  <si>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</si>
  <si>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</si>
  <si>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</si>
  <si>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</si>
  <si>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</si>
  <si>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</si>
  <si>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</si>
  <si>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</si>
  <si>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</si>
  <si>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Муниципальная программа "Реконструкция и капитальный ремонт общего имущества многоквартирных домов в округе Муром на 2015-2017 годы"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</si>
  <si>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(Закупка товаров, работ и услуг для обеспечения государственных (муниципальных) нужд)</t>
  </si>
  <si>
    <t>Муниципальная программа по приведению в нормативное состояние автомобильных дорог общего пользования местного значения  в округе Муром на 2015-2017 годы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</si>
  <si>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</si>
  <si>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округа Муром на 2015-2017 годы"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</si>
  <si>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</si>
  <si>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</si>
  <si>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 (Закупка товаров, работ и услуг для обеспечения государственных (муниципальных) нужд)</t>
  </si>
  <si>
    <t>0405390</t>
  </si>
  <si>
    <t>Финансовое обеспечение дорожной деятельности по муниципальной программе по приведению в нормативное состояние автомобильных дорог общего пользования местного значения  в округе Муром на 2015-2017 годы (Закупка товаров, работ и услуг для  обеспечения государственных (муниципальных) нужд)</t>
  </si>
  <si>
    <t>0407079</t>
  </si>
  <si>
    <t>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(Закупка товаров, работ и услуг для  обеспечения государственных (муниципальных) нужд)</t>
  </si>
  <si>
    <t>2321004</t>
  </si>
  <si>
    <t>Исполнение судебных актов в рамках подпрограммы 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(Иные бюджетные ассигнования)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</si>
  <si>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 (Закупка товаров, работ и услуг для  обеспечения государственных (муниципальных) нужд)</t>
  </si>
  <si>
    <t>1825097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</si>
  <si>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</si>
  <si>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1827097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</si>
  <si>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</si>
  <si>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1835027</t>
  </si>
  <si>
    <t>Создание в общеобразовательных организациях условий для инклюзивного образования детей-инвалидов, в т ч создание универсальной безбарьерной среды для беспрепятственного доступа и оснащение общеобразовательных организаций специальным ,в т ч учебным, реабилитационным, компьютерным оборудованием и автотранспортом в рамках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</si>
  <si>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1837076</t>
  </si>
  <si>
    <t>Софинансирование расходов на создание в общеобразовательных организациях условий для инклюзивного образования детей-инвалидов, в т ч создание универсальной безбарьерной среды для беспрепятственного доступа и оснащение общеобразовательных организаций специальным ,в т ч учебным, реабилитационным, компьютерным оборудованием и автотранспортом в рамках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</si>
  <si>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2000859</t>
  </si>
  <si>
    <t xml:space="preserve"> Обеспечение деятельности муниципального бюджетного учреждения "Парковое хозяйство" в рамках муниципальной программы "Благоустройство территории округа Муром на 2015-2017 годы" (Капитальные вложения в объекты государственной (муниципальной) собственности)</t>
  </si>
  <si>
    <t xml:space="preserve"> Обеспечение деятельности муниципального бюджетного учреждения "Парковое хозяйство" в рамках муниципальной программы "Благоустройство территории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</si>
  <si>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энергетической эффективности в округе Муром на 2015-2017 годы"</t>
  </si>
  <si>
    <t>Модернизация систем уличного наружного освещения округа Муром в рамках муниципальной программы "Энергосбережение и повышение энергетической эффективности в округе Муром на 2015-2017 годы" (Закупка товаров, работ и услуг для  обеспечения государственных (муниципальных) нужд)</t>
  </si>
  <si>
    <t>1904009</t>
  </si>
  <si>
    <t>2517063</t>
  </si>
  <si>
    <t>Меры по повышению эффективности реализации молодежной политики в муниципальных образованиях Владимирской области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 (Закупка товаров, работ и услуг для  обеспечения государственных (муниципальных) нужд)</t>
  </si>
  <si>
    <t>2527063</t>
  </si>
  <si>
    <t>Меры по повышению эффективности реализации молодежной политики в муниципальных образованиях Владимирской области в рамках подпрограммы "Совершенствование и развитие дополнительного образования детей в МБОУДОД ЦРТДЮ "Орленок" " муниципальной программы "Молодежь Мурома" на 2015-2017 годы (Предоставление субсидий бюджетным, автономным учреждениям и иным некоммерческим организациям)</t>
  </si>
  <si>
    <t>Проведение выборов Главы округа Муром в рамках непрограммных расходов органов местного самоуправления (Закупка товаров, работ и услуг для  обеспечения государственных (муниципальных) нужд)</t>
  </si>
  <si>
    <t>Проведение выборов депутатов Совета народных депутатов округа Муром в рамках непрограммных расходов органов местного самоуправления (Закупка товаров, работ и услуг для  обеспечения государственных (муниципальных) нужд)</t>
  </si>
  <si>
    <t>18Л4001</t>
  </si>
  <si>
    <t>Строительство (реконструкция) объектов муниципальной собственности округа в целях увеличения мощности МБДОУ "Детский сад № 32" (реконструкция здания по адресу: г. Муром, ул. Московская, дом 70) в рамках муниципальной программы "Развитие образования в округе Муром на 2015-2017 годы" (Капитальные вложения в объекты государственной (муниципальной) собственности)</t>
  </si>
  <si>
    <t>2311019</t>
  </si>
  <si>
    <t>Кадастровая оценка объектов капитального строительства на территории округа Муром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 (Закупка товаров, работ и услуг для государственных (муниципальных) нужд)</t>
  </si>
  <si>
    <t>0801020</t>
  </si>
  <si>
    <t>Снос домов, признанных непригодными для проживания, в рамках муниципальной программы "Переселение граждан из аварийного жилищного фонда в 2015-2017 годах" (Закупка товаров, работ и услуг для  обеспечения государственных (муниципальных) нужд)</t>
  </si>
  <si>
    <t>18Л5059</t>
  </si>
  <si>
    <t>1815059</t>
  </si>
  <si>
    <t>Реализация мероприятий по модернизации региональной системы дошкольного образования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</si>
  <si>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1815083</t>
  </si>
  <si>
    <t>0401</t>
  </si>
  <si>
    <t>Реализация дополнительных мероприятий в сфере занятости населения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</si>
  <si>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1817083</t>
  </si>
  <si>
    <t>Содействие трудоустройству незанятых инвалидов на оборудованные (оснащенные) для них рабочие места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годы"" (Предоставление субсидий бюджетным, автономным учреждениям и иным некоммерческим организациям)</t>
  </si>
  <si>
    <t>1825083</t>
  </si>
  <si>
    <t>Реализация дополнительных мероприятий в сфере занятости населения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</si>
  <si>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1827083</t>
  </si>
  <si>
    <t>Содействие трудоустройству незанятых инвалидов на оборудованные (оснащенные) для них рабочие места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</si>
  <si>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непрограммных расходов органов местного самоуправления (Закупка товаров, работ и услуг для  обеспечения государственных (муниципальных) нужд)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</si>
  <si>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 в рамках непрограммных расходов органов местного самоуправления (Социальное обеспечение и иные выплаты населению)</t>
  </si>
  <si>
    <t>2215083</t>
  </si>
  <si>
    <t>2217083</t>
  </si>
  <si>
    <t>Реализация дополнительных мероприятий в сфере занятости населения в рамках подпрограммы "Развитие массового спорта и формирование здорового образа жизни населения на 2015-2017 годы" муниципальной программы "Развитие физической культуры и спорта в округе Муром на 2015-2017 годы" (Предоставление субсидий бюджетным, автономным учреждениям и иным некоммерческим организациям)</t>
  </si>
  <si>
    <t>Содействие трудоустройству незанятых инвалидов на оборудованные (оснащенные) для них рабочие места в рамках подпрограммы"Развитие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(Предоставление субсидий бюджетным, автономным учреждениям и иным некоммерческим организациям)</t>
  </si>
  <si>
    <t>1907013</t>
  </si>
  <si>
    <t>Мероприятия по снижению потребления электрической и тепловой энергии в рамках муниципальной программы "Энергосбережение и повышение энергетической эффективности в округе Муром на 2015-2017 годы" (Закупка товаров, работ и услуг для  обеспечения государственных (муниципальных) нужд)</t>
  </si>
  <si>
    <t>0407246</t>
  </si>
  <si>
    <t xml:space="preserve">Расходы на развитие дорожного хозяйства в отношении автомобильных дорог общего пользования местного значения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(Закупка товаров, работ и услуг для обеспечения государственных (муниципальных) нужд) </t>
  </si>
  <si>
    <t>2405027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</si>
  <si>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</si>
  <si>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2055027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</si>
  <si>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 (Предоставление субсидий бюджетным, автономным учреждениям и иным некоммерческим организациям)</t>
  </si>
  <si>
    <t>2215027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</si>
  <si>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</si>
  <si>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фондами)</t>
  </si>
  <si>
    <t>2050859</t>
  </si>
  <si>
    <t xml:space="preserve"> Обеспечение деятельности муниципального бюджетного учреждения "Парковое хозяйство"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 (Предоставление субсидий бюджетным, автономным учреждениям и иным некоммерческим организациям)</t>
  </si>
  <si>
    <t>2055162</t>
  </si>
  <si>
    <t>Премирование победителей Всероссийского конкурса на звание "Самое благоустроенное городское (сельское) поселение России" в рамках подпрограммы "Содержание и ремонт объектов благоустройства округа Муром на 2015-2017 годы" муниципальной программы " Благоустройство территории округа Муром на 2015-2017 годы "(Предоставление субсидий бюджетным, автономным учреждениям и иным некоммерческим организациям)</t>
  </si>
  <si>
    <t>1827088</t>
  </si>
  <si>
    <t>Поощрение лучших учителей - лауреатов областного конкурса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</si>
  <si>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Премирование победителей Всероссийского конкурса на звание "Самое благоустроенное городское (сельское) поселение России" в рамках подпрограммы "Содержание и ремонт объектов благоустройства округа Муром на 2015-2017 годы" муниципальной программы " Благоустройство территории округа Муром на 2015-2017 годы "(Закупка товаров, работ и услуг для  обеспечения государственных (муниципальных) нужд)</t>
  </si>
  <si>
    <t>1817112</t>
  </si>
  <si>
    <t>1807122</t>
  </si>
  <si>
    <t>Софинансирование капитальных вложений в объекты муниципальной собственности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</si>
  <si>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 не имеющих закрепленного жилого помещения, в рамках муниципальной программы "Развитие образования в округе Муром на 2015-2017 годы" (Капитальные вложения в объекты недвижимого имущества государственной (муниципальной) собственности)</t>
  </si>
  <si>
    <t>Поощрение лучших учителей - лауреатов областного конкурса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(Социальное обеспечение и иные выплаты населению)</t>
  </si>
  <si>
    <t>1812010</t>
  </si>
  <si>
    <t>Выплата денежного поощрения лучшим педагогам дошкольных образовательных учреждений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(Социальное обеспечение и иные выплаты населению)</t>
  </si>
  <si>
    <t>1822011</t>
  </si>
  <si>
    <t>Поощрение лучших учителей и педагогов дополнительного образования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(Социальное обеспечение и иные выплаты населению)</t>
  </si>
  <si>
    <t>0309601</t>
  </si>
  <si>
    <t xml:space="preserve">Обеспечение софинансирования мероприятий по капитальному ремонту многоквартирных домов в рамках муниципальной программы "Реконструкция и капитальный ремонт общего имущества многоквартирных домов в округе Муром на 2015-2017 годы" (Предоставление субсидий бюджетным, автономным учреждениям и иным некоммерческим организациям) 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</si>
  <si>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(Иные бюджетные ассигнования)</t>
  </si>
  <si>
    <t>2517014</t>
  </si>
  <si>
    <t>Выделение грантов по результатам деятельности органов местного самоуправления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 (Закупка товаров, работ и услуг для  обеспечения государственных (муниципальных) нужд)</t>
  </si>
  <si>
    <t>1827014</t>
  </si>
  <si>
    <t>Выделение грантов по результатам деятельности органов местного самоуправления в рамках подпрограммы "Развитие общего и дополнительного образования в округе Муром на 2015-2017 годы" муниципальной программы "Развитие образования в округе Муром на 2015-2017" (Предоставление субсидий бюджетным, автономным учреждениям и иным некоммерческим организациям)</t>
  </si>
  <si>
    <t>2217014</t>
  </si>
  <si>
    <t>Выделение грантов по результатам деятельности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годы"(Предоставление субсидий бюджетным, автономным учреждениям и иным некоммерческим организациям)</t>
  </si>
  <si>
    <t>2407014</t>
  </si>
  <si>
    <t>Выделение грантов по результатам деятельности органов местного самоуправления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</si>
  <si>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1105064</t>
  </si>
  <si>
    <t>0413</t>
  </si>
  <si>
    <t>Государственная поддержка малого и среднего предпринимательства, включая крестьянские (фермерские) хозяйства,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</si>
  <si>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 xml:space="preserve">                                                                                     Приложение № 5</t>
  </si>
  <si>
    <t>от  ___________  №  _____</t>
  </si>
  <si>
    <t>Отчет об исполнении распределения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округа Муром за 2015 год</t>
  </si>
  <si>
    <t>6</t>
  </si>
  <si>
    <t>7</t>
  </si>
  <si>
    <t>Исполнено за 2015 год</t>
  </si>
  <si>
    <t>% исполнения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</si>
  <si>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«Обеспечение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года» (Капитальные вложения в объекты государственной (муниципальной) собственности)</t>
  </si>
  <si>
    <t>Реализация мероприятий по модернизации региональной системы дошкольного образования в целях увеличения мощности МБДОУ "Детский сад № 32" (реконструкция здания по адресу: г. Муром,ул. Московская, дом 70) в рамках муниципальной программы "Развитие образования в округе Муром на 2015-2017 годы" (Капитальные вложения в объекты государственной (муниципальной) собственности)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</si>
</sst>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  <numFmt numFmtId="190" formatCode="#,##0.0000000"/>
    <numFmt numFmtId="191" formatCode="#,##0.00000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0" xfId="62"/>
    <cellStyle name="Финансовый 11" xfId="63"/>
    <cellStyle name="Финансовый 12" xfId="64"/>
    <cellStyle name="Финансовый 13" xfId="65"/>
    <cellStyle name="Финансовый 14" xfId="66"/>
    <cellStyle name="Финансовый 15" xfId="67"/>
    <cellStyle name="Финансовый 16" xfId="68"/>
    <cellStyle name="Финансовый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Финансовый 9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32">
      <selection activeCell="A34" sqref="A34"/>
    </sheetView>
  </sheetViews>
  <sheetFormatPr defaultColWidth="9.00390625" defaultRowHeight="12.75"/>
  <cols>
    <col min="1" max="1" width="59.00390625" style="34" customWidth="1"/>
    <col min="2" max="2" width="8.875" style="35" customWidth="1"/>
    <col min="3" max="3" width="5.125" style="35" customWidth="1"/>
    <col min="4" max="4" width="5.375" style="35" customWidth="1"/>
    <col min="5" max="5" width="21.75390625" style="30" customWidth="1"/>
    <col min="6" max="6" width="16.125" style="33" customWidth="1"/>
    <col min="7" max="7" width="10.75390625" style="33" customWidth="1"/>
    <col min="8" max="16384" width="9.125" style="34" customWidth="1"/>
  </cols>
  <sheetData>
    <row r="1" spans="1:8" ht="15">
      <c r="A1" s="48" t="s">
        <v>608</v>
      </c>
      <c r="B1" s="48"/>
      <c r="C1" s="48"/>
      <c r="D1" s="48"/>
      <c r="E1" s="48"/>
      <c r="F1" s="48"/>
      <c r="G1" s="48"/>
      <c r="H1" s="33"/>
    </row>
    <row r="2" spans="1:8" ht="15">
      <c r="A2" s="49" t="s">
        <v>330</v>
      </c>
      <c r="B2" s="49"/>
      <c r="C2" s="49"/>
      <c r="D2" s="49"/>
      <c r="E2" s="49"/>
      <c r="F2" s="49"/>
      <c r="G2" s="49"/>
      <c r="H2" s="33"/>
    </row>
    <row r="3" spans="1:8" ht="15">
      <c r="A3" s="49" t="s">
        <v>609</v>
      </c>
      <c r="B3" s="49"/>
      <c r="C3" s="49"/>
      <c r="D3" s="49"/>
      <c r="E3" s="49"/>
      <c r="F3" s="49"/>
      <c r="G3" s="49"/>
      <c r="H3" s="33"/>
    </row>
    <row r="4" ht="5.25" customHeight="1"/>
    <row r="5" spans="1:7" ht="45" customHeight="1">
      <c r="A5" s="47" t="s">
        <v>610</v>
      </c>
      <c r="B5" s="47"/>
      <c r="C5" s="47"/>
      <c r="D5" s="47"/>
      <c r="E5" s="47"/>
      <c r="F5" s="47"/>
      <c r="G5" s="47"/>
    </row>
    <row r="6" spans="1:7" ht="15" customHeight="1">
      <c r="A6" s="50" t="s">
        <v>256</v>
      </c>
      <c r="B6" s="45" t="s">
        <v>269</v>
      </c>
      <c r="C6" s="45" t="s">
        <v>270</v>
      </c>
      <c r="D6" s="45" t="s">
        <v>275</v>
      </c>
      <c r="E6" s="46" t="s">
        <v>132</v>
      </c>
      <c r="F6" s="46" t="s">
        <v>613</v>
      </c>
      <c r="G6" s="46" t="s">
        <v>614</v>
      </c>
    </row>
    <row r="7" spans="1:7" ht="15">
      <c r="A7" s="50"/>
      <c r="B7" s="45"/>
      <c r="C7" s="45"/>
      <c r="D7" s="45"/>
      <c r="E7" s="46"/>
      <c r="F7" s="46"/>
      <c r="G7" s="46"/>
    </row>
    <row r="8" spans="1:7" ht="23.25" customHeight="1">
      <c r="A8" s="50"/>
      <c r="B8" s="45"/>
      <c r="C8" s="45"/>
      <c r="D8" s="45"/>
      <c r="E8" s="46"/>
      <c r="F8" s="46"/>
      <c r="G8" s="46"/>
    </row>
    <row r="9" spans="1:7" ht="15">
      <c r="A9" s="22" t="s">
        <v>292</v>
      </c>
      <c r="B9" s="22" t="s">
        <v>329</v>
      </c>
      <c r="C9" s="22" t="s">
        <v>290</v>
      </c>
      <c r="D9" s="22" t="s">
        <v>291</v>
      </c>
      <c r="E9" s="22" t="s">
        <v>293</v>
      </c>
      <c r="F9" s="22" t="s">
        <v>611</v>
      </c>
      <c r="G9" s="22" t="s">
        <v>612</v>
      </c>
    </row>
    <row r="10" spans="1:7" ht="28.5">
      <c r="A10" s="2" t="s">
        <v>157</v>
      </c>
      <c r="B10" s="3" t="s">
        <v>73</v>
      </c>
      <c r="C10" s="3" t="s">
        <v>272</v>
      </c>
      <c r="D10" s="3" t="s">
        <v>294</v>
      </c>
      <c r="E10" s="24">
        <f>E11</f>
        <v>198.6</v>
      </c>
      <c r="F10" s="24">
        <f>F11</f>
        <v>198.568</v>
      </c>
      <c r="G10" s="40">
        <f>F10/E10*100</f>
        <v>99.98388721047333</v>
      </c>
    </row>
    <row r="11" spans="1:7" ht="75">
      <c r="A11" s="4" t="s">
        <v>159</v>
      </c>
      <c r="B11" s="5" t="s">
        <v>303</v>
      </c>
      <c r="C11" s="5" t="s">
        <v>70</v>
      </c>
      <c r="D11" s="5" t="s">
        <v>261</v>
      </c>
      <c r="E11" s="25">
        <f>200-100.5+99.1</f>
        <v>198.6</v>
      </c>
      <c r="F11" s="25">
        <v>198.568</v>
      </c>
      <c r="G11" s="41">
        <f aca="true" t="shared" si="0" ref="G11:G74">F11/E11*100</f>
        <v>99.98388721047333</v>
      </c>
    </row>
    <row r="12" spans="1:7" ht="42.75">
      <c r="A12" s="6" t="s">
        <v>158</v>
      </c>
      <c r="B12" s="7" t="s">
        <v>74</v>
      </c>
      <c r="C12" s="7" t="s">
        <v>272</v>
      </c>
      <c r="D12" s="7" t="s">
        <v>272</v>
      </c>
      <c r="E12" s="26">
        <f>SUM(E13:E15)</f>
        <v>23428.702</v>
      </c>
      <c r="F12" s="26">
        <f>SUM(F13:F15)</f>
        <v>9847.53407</v>
      </c>
      <c r="G12" s="40">
        <f t="shared" si="0"/>
        <v>42.03192336476856</v>
      </c>
    </row>
    <row r="13" spans="1:10" ht="75" hidden="1">
      <c r="A13" s="8" t="s">
        <v>160</v>
      </c>
      <c r="B13" s="9" t="s">
        <v>143</v>
      </c>
      <c r="C13" s="9" t="s">
        <v>307</v>
      </c>
      <c r="D13" s="9" t="s">
        <v>277</v>
      </c>
      <c r="E13" s="27"/>
      <c r="F13" s="27"/>
      <c r="G13" s="41" t="e">
        <f t="shared" si="0"/>
        <v>#DIV/0!</v>
      </c>
      <c r="H13" s="36"/>
      <c r="I13" s="36"/>
      <c r="J13" s="36"/>
    </row>
    <row r="14" spans="1:10" ht="84.75" customHeight="1">
      <c r="A14" s="10" t="s">
        <v>522</v>
      </c>
      <c r="B14" s="9" t="s">
        <v>304</v>
      </c>
      <c r="C14" s="9" t="s">
        <v>307</v>
      </c>
      <c r="D14" s="9" t="s">
        <v>277</v>
      </c>
      <c r="E14" s="27">
        <v>75.81</v>
      </c>
      <c r="F14" s="27">
        <v>75.81</v>
      </c>
      <c r="G14" s="41">
        <f t="shared" si="0"/>
        <v>100</v>
      </c>
      <c r="H14" s="36"/>
      <c r="I14" s="36"/>
      <c r="J14" s="36"/>
    </row>
    <row r="15" spans="1:7" ht="75">
      <c r="A15" s="4" t="s">
        <v>507</v>
      </c>
      <c r="B15" s="5" t="s">
        <v>304</v>
      </c>
      <c r="C15" s="5" t="s">
        <v>70</v>
      </c>
      <c r="D15" s="5" t="s">
        <v>261</v>
      </c>
      <c r="E15" s="25">
        <f>5025+934.3+9389.4+8076-110.498+781-684.2-58.11</f>
        <v>23352.892</v>
      </c>
      <c r="F15" s="25">
        <v>9771.72407</v>
      </c>
      <c r="G15" s="41">
        <f t="shared" si="0"/>
        <v>41.84374282208816</v>
      </c>
    </row>
    <row r="16" spans="1:7" ht="57">
      <c r="A16" s="6" t="s">
        <v>508</v>
      </c>
      <c r="B16" s="7" t="s">
        <v>75</v>
      </c>
      <c r="C16" s="7" t="s">
        <v>272</v>
      </c>
      <c r="D16" s="7" t="s">
        <v>294</v>
      </c>
      <c r="E16" s="26">
        <f>SUM(E17:E19)</f>
        <v>18532.718</v>
      </c>
      <c r="F16" s="26">
        <f>SUM(F17:F19)</f>
        <v>17108.16117</v>
      </c>
      <c r="G16" s="40">
        <f t="shared" si="0"/>
        <v>92.3132870742435</v>
      </c>
    </row>
    <row r="17" spans="1:7" ht="90" hidden="1">
      <c r="A17" s="1" t="s">
        <v>45</v>
      </c>
      <c r="B17" s="9" t="s">
        <v>215</v>
      </c>
      <c r="C17" s="9" t="s">
        <v>310</v>
      </c>
      <c r="D17" s="9" t="s">
        <v>260</v>
      </c>
      <c r="E17" s="27">
        <f>745.5+1983.218-2728.718</f>
        <v>0</v>
      </c>
      <c r="F17" s="27">
        <f>745.5+1983.218-2728.718</f>
        <v>0</v>
      </c>
      <c r="G17" s="41" t="e">
        <f t="shared" si="0"/>
        <v>#DIV/0!</v>
      </c>
    </row>
    <row r="18" spans="1:7" ht="108" customHeight="1">
      <c r="A18" s="10" t="s">
        <v>595</v>
      </c>
      <c r="B18" s="9" t="s">
        <v>594</v>
      </c>
      <c r="C18" s="9" t="s">
        <v>310</v>
      </c>
      <c r="D18" s="9" t="s">
        <v>260</v>
      </c>
      <c r="E18" s="27">
        <v>2728.718</v>
      </c>
      <c r="F18" s="27">
        <v>2728.71792</v>
      </c>
      <c r="G18" s="41">
        <f t="shared" si="0"/>
        <v>99.99999706822032</v>
      </c>
    </row>
    <row r="19" spans="1:7" ht="45">
      <c r="A19" s="11" t="s">
        <v>149</v>
      </c>
      <c r="B19" s="5" t="s">
        <v>150</v>
      </c>
      <c r="C19" s="5" t="s">
        <v>272</v>
      </c>
      <c r="D19" s="5" t="s">
        <v>294</v>
      </c>
      <c r="E19" s="25">
        <f>E20</f>
        <v>15804</v>
      </c>
      <c r="F19" s="25">
        <f>F20</f>
        <v>14379.44325</v>
      </c>
      <c r="G19" s="41">
        <f t="shared" si="0"/>
        <v>90.98610003796507</v>
      </c>
    </row>
    <row r="20" spans="1:7" ht="120">
      <c r="A20" s="10" t="s">
        <v>435</v>
      </c>
      <c r="B20" s="5" t="s">
        <v>436</v>
      </c>
      <c r="C20" s="5" t="s">
        <v>307</v>
      </c>
      <c r="D20" s="5" t="s">
        <v>260</v>
      </c>
      <c r="E20" s="25">
        <f>19800-4357.7-934.3+2596-1300</f>
        <v>15804</v>
      </c>
      <c r="F20" s="25">
        <v>14379.44325</v>
      </c>
      <c r="G20" s="41">
        <f t="shared" si="0"/>
        <v>90.98610003796507</v>
      </c>
    </row>
    <row r="21" spans="1:7" ht="57">
      <c r="A21" s="6" t="s">
        <v>510</v>
      </c>
      <c r="B21" s="7" t="s">
        <v>76</v>
      </c>
      <c r="C21" s="7" t="s">
        <v>272</v>
      </c>
      <c r="D21" s="7" t="s">
        <v>294</v>
      </c>
      <c r="E21" s="26">
        <f>E22+E23+E24+E25+E26</f>
        <v>134975.22049</v>
      </c>
      <c r="F21" s="26">
        <f>F22+F23+F24+F25+F26</f>
        <v>120140.42991</v>
      </c>
      <c r="G21" s="40">
        <f t="shared" si="0"/>
        <v>89.00924886349856</v>
      </c>
    </row>
    <row r="22" spans="1:7" ht="78" customHeight="1">
      <c r="A22" s="4" t="s">
        <v>509</v>
      </c>
      <c r="B22" s="5" t="s">
        <v>302</v>
      </c>
      <c r="C22" s="5" t="s">
        <v>307</v>
      </c>
      <c r="D22" s="5" t="s">
        <v>276</v>
      </c>
      <c r="E22" s="25">
        <f>87231.1-75.81+35000-2934.31151-9695.758</f>
        <v>109525.22049</v>
      </c>
      <c r="F22" s="25">
        <v>94690.42991</v>
      </c>
      <c r="G22" s="41">
        <f t="shared" si="0"/>
        <v>86.45536570149662</v>
      </c>
    </row>
    <row r="23" spans="1:7" ht="90">
      <c r="A23" s="4" t="s">
        <v>511</v>
      </c>
      <c r="B23" s="5" t="s">
        <v>302</v>
      </c>
      <c r="C23" s="5" t="s">
        <v>310</v>
      </c>
      <c r="D23" s="5" t="s">
        <v>276</v>
      </c>
      <c r="E23" s="25">
        <v>330</v>
      </c>
      <c r="F23" s="25">
        <v>330</v>
      </c>
      <c r="G23" s="41">
        <f t="shared" si="0"/>
        <v>100</v>
      </c>
    </row>
    <row r="24" spans="1:7" ht="93.75" customHeight="1">
      <c r="A24" s="10" t="s">
        <v>517</v>
      </c>
      <c r="B24" s="5" t="s">
        <v>516</v>
      </c>
      <c r="C24" s="5" t="s">
        <v>307</v>
      </c>
      <c r="D24" s="5" t="s">
        <v>276</v>
      </c>
      <c r="E24" s="25">
        <v>1940</v>
      </c>
      <c r="F24" s="25">
        <v>1940</v>
      </c>
      <c r="G24" s="41">
        <f t="shared" si="0"/>
        <v>100</v>
      </c>
    </row>
    <row r="25" spans="1:7" ht="125.25" customHeight="1">
      <c r="A25" s="10" t="s">
        <v>519</v>
      </c>
      <c r="B25" s="5" t="s">
        <v>518</v>
      </c>
      <c r="C25" s="5" t="s">
        <v>307</v>
      </c>
      <c r="D25" s="5" t="s">
        <v>276</v>
      </c>
      <c r="E25" s="25">
        <v>13180</v>
      </c>
      <c r="F25" s="25">
        <v>13180</v>
      </c>
      <c r="G25" s="41">
        <f t="shared" si="0"/>
        <v>100</v>
      </c>
    </row>
    <row r="26" spans="1:7" ht="105.75" customHeight="1">
      <c r="A26" s="10" t="s">
        <v>570</v>
      </c>
      <c r="B26" s="5" t="s">
        <v>569</v>
      </c>
      <c r="C26" s="5" t="s">
        <v>307</v>
      </c>
      <c r="D26" s="5" t="s">
        <v>276</v>
      </c>
      <c r="E26" s="25">
        <v>10000</v>
      </c>
      <c r="F26" s="25">
        <v>10000</v>
      </c>
      <c r="G26" s="41">
        <f t="shared" si="0"/>
        <v>100</v>
      </c>
    </row>
    <row r="27" spans="1:7" ht="85.5">
      <c r="A27" s="6" t="s">
        <v>333</v>
      </c>
      <c r="B27" s="7" t="s">
        <v>77</v>
      </c>
      <c r="C27" s="7" t="s">
        <v>272</v>
      </c>
      <c r="D27" s="7" t="s">
        <v>294</v>
      </c>
      <c r="E27" s="26">
        <f>SUM(E28:E34)</f>
        <v>4146.116000000001</v>
      </c>
      <c r="F27" s="26">
        <f>SUM(F28:F34)</f>
        <v>4075.10809</v>
      </c>
      <c r="G27" s="40">
        <f t="shared" si="0"/>
        <v>98.28736316108858</v>
      </c>
    </row>
    <row r="28" spans="1:7" ht="123.75" customHeight="1">
      <c r="A28" s="4" t="s">
        <v>332</v>
      </c>
      <c r="B28" s="9" t="s">
        <v>305</v>
      </c>
      <c r="C28" s="9" t="s">
        <v>70</v>
      </c>
      <c r="D28" s="9" t="s">
        <v>276</v>
      </c>
      <c r="E28" s="27">
        <f>319.681+170.5+34.5+39.5</f>
        <v>564.181</v>
      </c>
      <c r="F28" s="27">
        <v>564.10516</v>
      </c>
      <c r="G28" s="41">
        <f t="shared" si="0"/>
        <v>99.98655750548137</v>
      </c>
    </row>
    <row r="29" spans="1:7" ht="120">
      <c r="A29" s="4" t="s">
        <v>332</v>
      </c>
      <c r="B29" s="22" t="s">
        <v>305</v>
      </c>
      <c r="C29" s="5" t="s">
        <v>70</v>
      </c>
      <c r="D29" s="5" t="s">
        <v>261</v>
      </c>
      <c r="E29" s="42">
        <f>5000-319.681-140.28-253.15-92.35-34.5-258.903-39.5-99.1-2817.62</f>
        <v>944.9160000000006</v>
      </c>
      <c r="F29" s="42">
        <v>944.87532</v>
      </c>
      <c r="G29" s="41">
        <f t="shared" si="0"/>
        <v>99.99569485541565</v>
      </c>
    </row>
    <row r="30" spans="1:7" ht="165" hidden="1">
      <c r="A30" s="4" t="s">
        <v>434</v>
      </c>
      <c r="B30" s="22" t="s">
        <v>141</v>
      </c>
      <c r="C30" s="5" t="s">
        <v>70</v>
      </c>
      <c r="D30" s="5" t="s">
        <v>261</v>
      </c>
      <c r="E30" s="42"/>
      <c r="F30" s="42"/>
      <c r="G30" s="41" t="e">
        <f t="shared" si="0"/>
        <v>#DIV/0!</v>
      </c>
    </row>
    <row r="31" spans="1:7" ht="123" customHeight="1">
      <c r="A31" s="4" t="s">
        <v>332</v>
      </c>
      <c r="B31" s="22" t="s">
        <v>305</v>
      </c>
      <c r="C31" s="5" t="s">
        <v>70</v>
      </c>
      <c r="D31" s="5" t="s">
        <v>278</v>
      </c>
      <c r="E31" s="42">
        <f>140.28+82.65+258.903-194.034</f>
        <v>287.79900000000004</v>
      </c>
      <c r="F31" s="42">
        <v>287.79761</v>
      </c>
      <c r="G31" s="41">
        <f t="shared" si="0"/>
        <v>99.99951702403413</v>
      </c>
    </row>
    <row r="32" spans="1:7" ht="165.75" customHeight="1">
      <c r="A32" s="10" t="s">
        <v>615</v>
      </c>
      <c r="B32" s="22" t="s">
        <v>141</v>
      </c>
      <c r="C32" s="5" t="s">
        <v>70</v>
      </c>
      <c r="D32" s="5" t="s">
        <v>276</v>
      </c>
      <c r="E32" s="42">
        <v>1534.498</v>
      </c>
      <c r="F32" s="42">
        <v>1534.498</v>
      </c>
      <c r="G32" s="41">
        <f t="shared" si="0"/>
        <v>100</v>
      </c>
    </row>
    <row r="33" spans="1:7" ht="171" customHeight="1">
      <c r="A33" s="10" t="s">
        <v>615</v>
      </c>
      <c r="B33" s="22" t="s">
        <v>141</v>
      </c>
      <c r="C33" s="5" t="s">
        <v>70</v>
      </c>
      <c r="D33" s="5" t="s">
        <v>261</v>
      </c>
      <c r="E33" s="42">
        <f>2349.22-2278.33</f>
        <v>70.88999999999987</v>
      </c>
      <c r="F33" s="42">
        <v>0</v>
      </c>
      <c r="G33" s="41">
        <f t="shared" si="0"/>
        <v>0</v>
      </c>
    </row>
    <row r="34" spans="1:7" ht="171" customHeight="1">
      <c r="A34" s="10" t="s">
        <v>615</v>
      </c>
      <c r="B34" s="22" t="s">
        <v>141</v>
      </c>
      <c r="C34" s="5" t="s">
        <v>70</v>
      </c>
      <c r="D34" s="5" t="s">
        <v>278</v>
      </c>
      <c r="E34" s="42">
        <v>743.832</v>
      </c>
      <c r="F34" s="42">
        <v>743.832</v>
      </c>
      <c r="G34" s="41">
        <f t="shared" si="0"/>
        <v>100</v>
      </c>
    </row>
    <row r="35" spans="1:7" ht="57">
      <c r="A35" s="6" t="s">
        <v>408</v>
      </c>
      <c r="B35" s="7" t="s">
        <v>78</v>
      </c>
      <c r="C35" s="7" t="s">
        <v>272</v>
      </c>
      <c r="D35" s="7" t="s">
        <v>294</v>
      </c>
      <c r="E35" s="26">
        <f>SUM(E36:E47)</f>
        <v>26861.525</v>
      </c>
      <c r="F35" s="26">
        <f>SUM(F36:F47)</f>
        <v>25236.890549999996</v>
      </c>
      <c r="G35" s="40">
        <f t="shared" si="0"/>
        <v>93.95181602682645</v>
      </c>
    </row>
    <row r="36" spans="1:7" ht="76.5" customHeight="1">
      <c r="A36" s="11" t="s">
        <v>409</v>
      </c>
      <c r="B36" s="5" t="s">
        <v>301</v>
      </c>
      <c r="C36" s="5" t="s">
        <v>307</v>
      </c>
      <c r="D36" s="5" t="s">
        <v>259</v>
      </c>
      <c r="E36" s="25">
        <v>200</v>
      </c>
      <c r="F36" s="25">
        <v>179.754</v>
      </c>
      <c r="G36" s="41">
        <f t="shared" si="0"/>
        <v>89.877</v>
      </c>
    </row>
    <row r="37" spans="1:7" ht="90" hidden="1">
      <c r="A37" s="11" t="s">
        <v>409</v>
      </c>
      <c r="B37" s="5" t="s">
        <v>301</v>
      </c>
      <c r="C37" s="5" t="s">
        <v>307</v>
      </c>
      <c r="D37" s="5" t="s">
        <v>276</v>
      </c>
      <c r="E37" s="25"/>
      <c r="F37" s="25"/>
      <c r="G37" s="41" t="e">
        <f t="shared" si="0"/>
        <v>#DIV/0!</v>
      </c>
    </row>
    <row r="38" spans="1:7" ht="80.25" customHeight="1">
      <c r="A38" s="11" t="s">
        <v>515</v>
      </c>
      <c r="B38" s="5" t="s">
        <v>301</v>
      </c>
      <c r="C38" s="5" t="s">
        <v>307</v>
      </c>
      <c r="D38" s="5" t="s">
        <v>276</v>
      </c>
      <c r="E38" s="25">
        <f>1200+924.965+254</f>
        <v>2378.965</v>
      </c>
      <c r="F38" s="25">
        <v>2378.273</v>
      </c>
      <c r="G38" s="41">
        <f t="shared" si="0"/>
        <v>99.9709117200127</v>
      </c>
    </row>
    <row r="39" spans="1:7" ht="76.5" customHeight="1">
      <c r="A39" s="11" t="s">
        <v>410</v>
      </c>
      <c r="B39" s="5" t="s">
        <v>301</v>
      </c>
      <c r="C39" s="5" t="s">
        <v>70</v>
      </c>
      <c r="D39" s="5" t="s">
        <v>276</v>
      </c>
      <c r="E39" s="25">
        <f>2500-924.965+66.198-254</f>
        <v>1387.233</v>
      </c>
      <c r="F39" s="25">
        <v>1383.66755</v>
      </c>
      <c r="G39" s="41">
        <f t="shared" si="0"/>
        <v>99.74298117187234</v>
      </c>
    </row>
    <row r="40" spans="1:7" ht="86.25" customHeight="1">
      <c r="A40" s="11" t="s">
        <v>460</v>
      </c>
      <c r="B40" s="5" t="s">
        <v>301</v>
      </c>
      <c r="C40" s="5" t="s">
        <v>310</v>
      </c>
      <c r="D40" s="5" t="s">
        <v>276</v>
      </c>
      <c r="E40" s="25">
        <f>2100-1200</f>
        <v>900</v>
      </c>
      <c r="F40" s="25">
        <v>900</v>
      </c>
      <c r="G40" s="41">
        <f t="shared" si="0"/>
        <v>100</v>
      </c>
    </row>
    <row r="41" spans="1:7" ht="93" customHeight="1">
      <c r="A41" s="11" t="s">
        <v>460</v>
      </c>
      <c r="B41" s="5" t="s">
        <v>301</v>
      </c>
      <c r="C41" s="5" t="s">
        <v>310</v>
      </c>
      <c r="D41" s="5" t="s">
        <v>262</v>
      </c>
      <c r="E41" s="25">
        <f>26.6+23.4</f>
        <v>50</v>
      </c>
      <c r="F41" s="25">
        <v>50</v>
      </c>
      <c r="G41" s="41">
        <f t="shared" si="0"/>
        <v>100</v>
      </c>
    </row>
    <row r="42" spans="1:7" ht="90" hidden="1">
      <c r="A42" s="11" t="s">
        <v>411</v>
      </c>
      <c r="B42" s="5" t="s">
        <v>301</v>
      </c>
      <c r="C42" s="5" t="s">
        <v>310</v>
      </c>
      <c r="D42" s="5" t="s">
        <v>263</v>
      </c>
      <c r="E42" s="25">
        <f>50-26.6-23.4</f>
        <v>0</v>
      </c>
      <c r="F42" s="25"/>
      <c r="G42" s="41" t="e">
        <f t="shared" si="0"/>
        <v>#DIV/0!</v>
      </c>
    </row>
    <row r="43" spans="1:7" ht="105">
      <c r="A43" s="10" t="s">
        <v>412</v>
      </c>
      <c r="B43" s="5" t="s">
        <v>415</v>
      </c>
      <c r="C43" s="5" t="s">
        <v>309</v>
      </c>
      <c r="D43" s="5" t="s">
        <v>273</v>
      </c>
      <c r="E43" s="25">
        <f>15863.8+939.577</f>
        <v>16803.377</v>
      </c>
      <c r="F43" s="25">
        <v>15446.5762</v>
      </c>
      <c r="G43" s="41">
        <f t="shared" si="0"/>
        <v>91.92542784703336</v>
      </c>
    </row>
    <row r="44" spans="1:7" ht="117.75" customHeight="1">
      <c r="A44" s="10" t="s">
        <v>413</v>
      </c>
      <c r="B44" s="5" t="s">
        <v>416</v>
      </c>
      <c r="C44" s="5" t="s">
        <v>309</v>
      </c>
      <c r="D44" s="5" t="s">
        <v>273</v>
      </c>
      <c r="E44" s="25">
        <f>1084.2+177.75</f>
        <v>1261.95</v>
      </c>
      <c r="F44" s="25">
        <v>1070.1</v>
      </c>
      <c r="G44" s="41">
        <f t="shared" si="0"/>
        <v>84.79733745394033</v>
      </c>
    </row>
    <row r="45" spans="1:7" ht="90">
      <c r="A45" s="10" t="s">
        <v>211</v>
      </c>
      <c r="B45" s="5" t="s">
        <v>209</v>
      </c>
      <c r="C45" s="5" t="s">
        <v>308</v>
      </c>
      <c r="D45" s="5" t="s">
        <v>281</v>
      </c>
      <c r="E45" s="25">
        <f>10-3</f>
        <v>7</v>
      </c>
      <c r="F45" s="25">
        <v>6.001</v>
      </c>
      <c r="G45" s="41">
        <f t="shared" si="0"/>
        <v>85.72857142857143</v>
      </c>
    </row>
    <row r="46" spans="1:7" ht="90" hidden="1">
      <c r="A46" s="10" t="s">
        <v>212</v>
      </c>
      <c r="B46" s="5" t="s">
        <v>210</v>
      </c>
      <c r="C46" s="5" t="s">
        <v>308</v>
      </c>
      <c r="D46" s="5" t="s">
        <v>281</v>
      </c>
      <c r="E46" s="25">
        <f>24.024-24.024</f>
        <v>0</v>
      </c>
      <c r="F46" s="25"/>
      <c r="G46" s="41" t="e">
        <f t="shared" si="0"/>
        <v>#DIV/0!</v>
      </c>
    </row>
    <row r="47" spans="1:7" ht="105">
      <c r="A47" s="10" t="s">
        <v>414</v>
      </c>
      <c r="B47" s="5" t="s">
        <v>417</v>
      </c>
      <c r="C47" s="5" t="s">
        <v>309</v>
      </c>
      <c r="D47" s="5" t="s">
        <v>273</v>
      </c>
      <c r="E47" s="25">
        <f>3746+127</f>
        <v>3873</v>
      </c>
      <c r="F47" s="25">
        <v>3822.5188</v>
      </c>
      <c r="G47" s="41">
        <f t="shared" si="0"/>
        <v>98.69658662535502</v>
      </c>
    </row>
    <row r="48" spans="1:7" ht="28.5">
      <c r="A48" s="12" t="s">
        <v>512</v>
      </c>
      <c r="B48" s="7" t="s">
        <v>79</v>
      </c>
      <c r="C48" s="7" t="s">
        <v>272</v>
      </c>
      <c r="D48" s="7" t="s">
        <v>294</v>
      </c>
      <c r="E48" s="26">
        <f>SUM(E49:E53)</f>
        <v>8638.621</v>
      </c>
      <c r="F48" s="26">
        <f>SUM(F49:F53)</f>
        <v>8638.62098</v>
      </c>
      <c r="G48" s="40">
        <f t="shared" si="0"/>
        <v>99.99999976848157</v>
      </c>
    </row>
    <row r="49" spans="1:7" ht="75">
      <c r="A49" s="4" t="s">
        <v>419</v>
      </c>
      <c r="B49" s="5" t="s">
        <v>418</v>
      </c>
      <c r="C49" s="5" t="s">
        <v>309</v>
      </c>
      <c r="D49" s="5" t="s">
        <v>273</v>
      </c>
      <c r="E49" s="25">
        <f>3000+47.765</f>
        <v>3047.765</v>
      </c>
      <c r="F49" s="25">
        <v>3047.76498</v>
      </c>
      <c r="G49" s="41">
        <f t="shared" si="0"/>
        <v>99.99999934378143</v>
      </c>
    </row>
    <row r="50" spans="1:7" ht="60" hidden="1">
      <c r="A50" s="10" t="s">
        <v>513</v>
      </c>
      <c r="B50" s="5" t="s">
        <v>147</v>
      </c>
      <c r="C50" s="5" t="s">
        <v>309</v>
      </c>
      <c r="D50" s="5" t="s">
        <v>273</v>
      </c>
      <c r="E50" s="25"/>
      <c r="F50" s="25"/>
      <c r="G50" s="41" t="e">
        <f t="shared" si="0"/>
        <v>#DIV/0!</v>
      </c>
    </row>
    <row r="51" spans="1:7" ht="60" hidden="1">
      <c r="A51" s="10" t="s">
        <v>513</v>
      </c>
      <c r="B51" s="5" t="s">
        <v>148</v>
      </c>
      <c r="C51" s="5" t="s">
        <v>309</v>
      </c>
      <c r="D51" s="5" t="s">
        <v>273</v>
      </c>
      <c r="E51" s="25"/>
      <c r="F51" s="25"/>
      <c r="G51" s="41" t="e">
        <f t="shared" si="0"/>
        <v>#DIV/0!</v>
      </c>
    </row>
    <row r="52" spans="1:7" ht="63" customHeight="1">
      <c r="A52" s="10" t="s">
        <v>513</v>
      </c>
      <c r="B52" s="5" t="s">
        <v>147</v>
      </c>
      <c r="C52" s="5" t="s">
        <v>309</v>
      </c>
      <c r="D52" s="5" t="s">
        <v>273</v>
      </c>
      <c r="E52" s="25">
        <v>2945.436</v>
      </c>
      <c r="F52" s="25">
        <v>2945.436</v>
      </c>
      <c r="G52" s="41">
        <f t="shared" si="0"/>
        <v>100</v>
      </c>
    </row>
    <row r="53" spans="1:7" ht="60" customHeight="1">
      <c r="A53" s="10" t="s">
        <v>513</v>
      </c>
      <c r="B53" s="5" t="s">
        <v>148</v>
      </c>
      <c r="C53" s="5" t="s">
        <v>309</v>
      </c>
      <c r="D53" s="5" t="s">
        <v>273</v>
      </c>
      <c r="E53" s="25">
        <v>2645.42</v>
      </c>
      <c r="F53" s="25">
        <v>2645.42</v>
      </c>
      <c r="G53" s="41">
        <f t="shared" si="0"/>
        <v>100</v>
      </c>
    </row>
    <row r="54" spans="1:7" ht="28.5">
      <c r="A54" s="13" t="s">
        <v>53</v>
      </c>
      <c r="B54" s="7" t="s">
        <v>91</v>
      </c>
      <c r="C54" s="7" t="s">
        <v>272</v>
      </c>
      <c r="D54" s="7" t="s">
        <v>294</v>
      </c>
      <c r="E54" s="26">
        <f>E56+E58+E61+E57</f>
        <v>46226.2926</v>
      </c>
      <c r="F54" s="26">
        <f>F56+F58+F61+F57</f>
        <v>25542.4876</v>
      </c>
      <c r="G54" s="40">
        <f t="shared" si="0"/>
        <v>55.255323676984645</v>
      </c>
    </row>
    <row r="55" spans="1:7" ht="120" hidden="1">
      <c r="A55" s="10" t="s">
        <v>514</v>
      </c>
      <c r="B55" s="5" t="s">
        <v>145</v>
      </c>
      <c r="C55" s="5" t="s">
        <v>70</v>
      </c>
      <c r="D55" s="5" t="s">
        <v>260</v>
      </c>
      <c r="E55" s="27"/>
      <c r="F55" s="27"/>
      <c r="G55" s="41" t="e">
        <f t="shared" si="0"/>
        <v>#DIV/0!</v>
      </c>
    </row>
    <row r="56" spans="1:7" ht="75.75" customHeight="1">
      <c r="A56" s="1" t="s">
        <v>548</v>
      </c>
      <c r="B56" s="5" t="s">
        <v>547</v>
      </c>
      <c r="C56" s="5" t="s">
        <v>307</v>
      </c>
      <c r="D56" s="5" t="s">
        <v>260</v>
      </c>
      <c r="E56" s="27">
        <f>500+68-150.351</f>
        <v>417.649</v>
      </c>
      <c r="F56" s="27">
        <v>278.55</v>
      </c>
      <c r="G56" s="40">
        <f t="shared" si="0"/>
        <v>66.69476043280362</v>
      </c>
    </row>
    <row r="57" spans="1:7" ht="85.5" customHeight="1">
      <c r="A57" s="10" t="s">
        <v>47</v>
      </c>
      <c r="B57" s="5" t="s">
        <v>35</v>
      </c>
      <c r="C57" s="5" t="s">
        <v>70</v>
      </c>
      <c r="D57" s="5" t="s">
        <v>260</v>
      </c>
      <c r="E57" s="27">
        <v>14715.16518</v>
      </c>
      <c r="F57" s="27">
        <v>4414.54955</v>
      </c>
      <c r="G57" s="41">
        <f t="shared" si="0"/>
        <v>29.99999997281716</v>
      </c>
    </row>
    <row r="58" spans="1:7" ht="90.75" customHeight="1">
      <c r="A58" s="10" t="s">
        <v>47</v>
      </c>
      <c r="B58" s="5" t="s">
        <v>36</v>
      </c>
      <c r="C58" s="5" t="s">
        <v>70</v>
      </c>
      <c r="D58" s="5" t="s">
        <v>260</v>
      </c>
      <c r="E58" s="27">
        <f>SUM(E59+E60)</f>
        <v>14634.41482</v>
      </c>
      <c r="F58" s="27">
        <f>SUM(F59+F60)</f>
        <v>4390.32445</v>
      </c>
      <c r="G58" s="41">
        <f t="shared" si="0"/>
        <v>30.000000027332835</v>
      </c>
    </row>
    <row r="59" spans="1:7" ht="21" customHeight="1">
      <c r="A59" s="10" t="s">
        <v>153</v>
      </c>
      <c r="B59" s="5" t="s">
        <v>36</v>
      </c>
      <c r="C59" s="5" t="s">
        <v>70</v>
      </c>
      <c r="D59" s="5" t="s">
        <v>260</v>
      </c>
      <c r="E59" s="27">
        <v>7796.69771</v>
      </c>
      <c r="F59" s="25">
        <v>2339.02931</v>
      </c>
      <c r="G59" s="41">
        <f t="shared" si="0"/>
        <v>30.0002564803811</v>
      </c>
    </row>
    <row r="60" spans="1:7" ht="20.25" customHeight="1">
      <c r="A60" s="10" t="s">
        <v>59</v>
      </c>
      <c r="B60" s="5" t="s">
        <v>36</v>
      </c>
      <c r="C60" s="5" t="s">
        <v>70</v>
      </c>
      <c r="D60" s="5" t="s">
        <v>260</v>
      </c>
      <c r="E60" s="27">
        <v>6837.71711</v>
      </c>
      <c r="F60" s="25">
        <v>2051.29514</v>
      </c>
      <c r="G60" s="41">
        <f t="shared" si="0"/>
        <v>29.999707607090524</v>
      </c>
    </row>
    <row r="61" spans="1:7" ht="48" customHeight="1">
      <c r="A61" s="10" t="s">
        <v>54</v>
      </c>
      <c r="B61" s="5" t="s">
        <v>55</v>
      </c>
      <c r="C61" s="5" t="s">
        <v>272</v>
      </c>
      <c r="D61" s="5" t="s">
        <v>272</v>
      </c>
      <c r="E61" s="27">
        <f>SUM(E62:E63)</f>
        <v>16459.0636</v>
      </c>
      <c r="F61" s="27">
        <f>SUM(F62:F63)</f>
        <v>16459.0636</v>
      </c>
      <c r="G61" s="41">
        <f t="shared" si="0"/>
        <v>100</v>
      </c>
    </row>
    <row r="62" spans="1:7" ht="136.5" customHeight="1">
      <c r="A62" s="10" t="s">
        <v>48</v>
      </c>
      <c r="B62" s="5" t="s">
        <v>56</v>
      </c>
      <c r="C62" s="5" t="s">
        <v>70</v>
      </c>
      <c r="D62" s="5" t="s">
        <v>260</v>
      </c>
      <c r="E62" s="27">
        <v>8058.42577</v>
      </c>
      <c r="F62" s="27">
        <v>8058.42577</v>
      </c>
      <c r="G62" s="41">
        <f t="shared" si="0"/>
        <v>100</v>
      </c>
    </row>
    <row r="63" spans="1:7" ht="137.25" customHeight="1">
      <c r="A63" s="10" t="s">
        <v>48</v>
      </c>
      <c r="B63" s="5" t="s">
        <v>49</v>
      </c>
      <c r="C63" s="5" t="s">
        <v>70</v>
      </c>
      <c r="D63" s="5" t="s">
        <v>260</v>
      </c>
      <c r="E63" s="27">
        <f>SUM(E66:E67)</f>
        <v>8400.63783</v>
      </c>
      <c r="F63" s="27">
        <f>SUM(F66:F67)</f>
        <v>8400.63783</v>
      </c>
      <c r="G63" s="41">
        <f t="shared" si="0"/>
        <v>100</v>
      </c>
    </row>
    <row r="64" spans="1:7" ht="15" hidden="1">
      <c r="A64" s="10" t="s">
        <v>153</v>
      </c>
      <c r="B64" s="5" t="s">
        <v>146</v>
      </c>
      <c r="C64" s="5" t="s">
        <v>70</v>
      </c>
      <c r="D64" s="5" t="s">
        <v>260</v>
      </c>
      <c r="E64" s="27"/>
      <c r="F64" s="27"/>
      <c r="G64" s="41" t="e">
        <f t="shared" si="0"/>
        <v>#DIV/0!</v>
      </c>
    </row>
    <row r="65" spans="1:7" ht="15" hidden="1">
      <c r="A65" s="10" t="s">
        <v>144</v>
      </c>
      <c r="B65" s="5" t="s">
        <v>146</v>
      </c>
      <c r="C65" s="5" t="s">
        <v>70</v>
      </c>
      <c r="D65" s="5" t="s">
        <v>260</v>
      </c>
      <c r="E65" s="25">
        <v>7956.3</v>
      </c>
      <c r="F65" s="25">
        <v>7956.3</v>
      </c>
      <c r="G65" s="41">
        <f t="shared" si="0"/>
        <v>100</v>
      </c>
    </row>
    <row r="66" spans="1:7" ht="15">
      <c r="A66" s="10" t="s">
        <v>153</v>
      </c>
      <c r="B66" s="5" t="s">
        <v>49</v>
      </c>
      <c r="C66" s="5" t="s">
        <v>70</v>
      </c>
      <c r="D66" s="5" t="s">
        <v>260</v>
      </c>
      <c r="E66" s="25">
        <v>2300.89698</v>
      </c>
      <c r="F66" s="25">
        <v>2300.89698</v>
      </c>
      <c r="G66" s="41">
        <f t="shared" si="0"/>
        <v>100</v>
      </c>
    </row>
    <row r="67" spans="1:7" ht="15">
      <c r="A67" s="10" t="s">
        <v>59</v>
      </c>
      <c r="B67" s="5" t="s">
        <v>49</v>
      </c>
      <c r="C67" s="5" t="s">
        <v>70</v>
      </c>
      <c r="D67" s="5" t="s">
        <v>260</v>
      </c>
      <c r="E67" s="27">
        <f>7956.25-1856.50915</f>
        <v>6099.74085</v>
      </c>
      <c r="F67" s="27">
        <f>7956.25-1856.50915</f>
        <v>6099.74085</v>
      </c>
      <c r="G67" s="41">
        <f t="shared" si="0"/>
        <v>100</v>
      </c>
    </row>
    <row r="68" spans="1:7" ht="42.75">
      <c r="A68" s="12" t="s">
        <v>439</v>
      </c>
      <c r="B68" s="7" t="s">
        <v>80</v>
      </c>
      <c r="C68" s="7" t="s">
        <v>272</v>
      </c>
      <c r="D68" s="7" t="s">
        <v>294</v>
      </c>
      <c r="E68" s="26">
        <f>SUM(E69:E80)</f>
        <v>3793.0304</v>
      </c>
      <c r="F68" s="26">
        <f>SUM(F69:F80)</f>
        <v>3751.8118400000003</v>
      </c>
      <c r="G68" s="40">
        <f t="shared" si="0"/>
        <v>98.91330794501411</v>
      </c>
    </row>
    <row r="69" spans="1:7" ht="75">
      <c r="A69" s="4" t="s">
        <v>440</v>
      </c>
      <c r="B69" s="5" t="s">
        <v>297</v>
      </c>
      <c r="C69" s="5" t="s">
        <v>307</v>
      </c>
      <c r="D69" s="5" t="s">
        <v>259</v>
      </c>
      <c r="E69" s="25">
        <f>77+10</f>
        <v>87</v>
      </c>
      <c r="F69" s="25">
        <v>77.78144</v>
      </c>
      <c r="G69" s="41">
        <f t="shared" si="0"/>
        <v>89.4039540229885</v>
      </c>
    </row>
    <row r="70" spans="1:7" ht="75">
      <c r="A70" s="4" t="s">
        <v>440</v>
      </c>
      <c r="B70" s="5" t="s">
        <v>297</v>
      </c>
      <c r="C70" s="5" t="s">
        <v>307</v>
      </c>
      <c r="D70" s="5" t="s">
        <v>296</v>
      </c>
      <c r="E70" s="25">
        <v>490</v>
      </c>
      <c r="F70" s="25">
        <v>490</v>
      </c>
      <c r="G70" s="41">
        <f t="shared" si="0"/>
        <v>100</v>
      </c>
    </row>
    <row r="71" spans="1:7" ht="75" hidden="1">
      <c r="A71" s="4" t="s">
        <v>440</v>
      </c>
      <c r="B71" s="5" t="s">
        <v>297</v>
      </c>
      <c r="C71" s="5" t="s">
        <v>307</v>
      </c>
      <c r="D71" s="5" t="s">
        <v>278</v>
      </c>
      <c r="E71" s="25">
        <f>10-10</f>
        <v>0</v>
      </c>
      <c r="F71" s="25"/>
      <c r="G71" s="41" t="e">
        <f t="shared" si="0"/>
        <v>#DIV/0!</v>
      </c>
    </row>
    <row r="72" spans="1:7" ht="75">
      <c r="A72" s="4" t="s">
        <v>441</v>
      </c>
      <c r="B72" s="5" t="s">
        <v>297</v>
      </c>
      <c r="C72" s="5" t="s">
        <v>310</v>
      </c>
      <c r="D72" s="5" t="s">
        <v>278</v>
      </c>
      <c r="E72" s="25">
        <f>2000+578.5304</f>
        <v>2578.5304</v>
      </c>
      <c r="F72" s="25">
        <v>2578.5304</v>
      </c>
      <c r="G72" s="41">
        <f t="shared" si="0"/>
        <v>100</v>
      </c>
    </row>
    <row r="73" spans="1:7" ht="75">
      <c r="A73" s="4" t="s">
        <v>441</v>
      </c>
      <c r="B73" s="5" t="s">
        <v>297</v>
      </c>
      <c r="C73" s="5" t="s">
        <v>310</v>
      </c>
      <c r="D73" s="5" t="s">
        <v>263</v>
      </c>
      <c r="E73" s="25">
        <v>200</v>
      </c>
      <c r="F73" s="25">
        <v>168</v>
      </c>
      <c r="G73" s="41">
        <f t="shared" si="0"/>
        <v>84</v>
      </c>
    </row>
    <row r="74" spans="1:7" ht="75">
      <c r="A74" s="4" t="s">
        <v>441</v>
      </c>
      <c r="B74" s="5" t="s">
        <v>297</v>
      </c>
      <c r="C74" s="5" t="s">
        <v>310</v>
      </c>
      <c r="D74" s="5" t="s">
        <v>266</v>
      </c>
      <c r="E74" s="25">
        <v>115</v>
      </c>
      <c r="F74" s="25">
        <v>115</v>
      </c>
      <c r="G74" s="41">
        <f t="shared" si="0"/>
        <v>100</v>
      </c>
    </row>
    <row r="75" spans="1:7" ht="75">
      <c r="A75" s="4" t="s">
        <v>441</v>
      </c>
      <c r="B75" s="5" t="s">
        <v>297</v>
      </c>
      <c r="C75" s="5" t="s">
        <v>310</v>
      </c>
      <c r="D75" s="5" t="s">
        <v>285</v>
      </c>
      <c r="E75" s="25">
        <v>40</v>
      </c>
      <c r="F75" s="25">
        <v>40</v>
      </c>
      <c r="G75" s="41">
        <f aca="true" t="shared" si="1" ref="G75:G138">F75/E75*100</f>
        <v>100</v>
      </c>
    </row>
    <row r="76" spans="1:7" ht="90" hidden="1">
      <c r="A76" s="10" t="s">
        <v>442</v>
      </c>
      <c r="B76" s="5" t="s">
        <v>154</v>
      </c>
      <c r="C76" s="5" t="s">
        <v>307</v>
      </c>
      <c r="D76" s="5" t="s">
        <v>296</v>
      </c>
      <c r="E76" s="25"/>
      <c r="F76" s="25"/>
      <c r="G76" s="41" t="e">
        <f t="shared" si="1"/>
        <v>#DIV/0!</v>
      </c>
    </row>
    <row r="77" spans="1:7" ht="75" hidden="1">
      <c r="A77" s="4" t="s">
        <v>443</v>
      </c>
      <c r="B77" s="5" t="s">
        <v>138</v>
      </c>
      <c r="C77" s="5" t="s">
        <v>310</v>
      </c>
      <c r="D77" s="5" t="s">
        <v>296</v>
      </c>
      <c r="E77" s="25"/>
      <c r="F77" s="25"/>
      <c r="G77" s="41" t="e">
        <f t="shared" si="1"/>
        <v>#DIV/0!</v>
      </c>
    </row>
    <row r="78" spans="1:7" ht="78" customHeight="1" hidden="1">
      <c r="A78" s="4" t="s">
        <v>442</v>
      </c>
      <c r="B78" s="5" t="s">
        <v>154</v>
      </c>
      <c r="C78" s="5" t="s">
        <v>307</v>
      </c>
      <c r="D78" s="5" t="s">
        <v>296</v>
      </c>
      <c r="E78" s="25">
        <f>660-660</f>
        <v>0</v>
      </c>
      <c r="F78" s="25">
        <f>660-660</f>
        <v>0</v>
      </c>
      <c r="G78" s="41" t="e">
        <f t="shared" si="1"/>
        <v>#DIV/0!</v>
      </c>
    </row>
    <row r="79" spans="1:7" ht="95.25" customHeight="1">
      <c r="A79" s="14" t="s">
        <v>44</v>
      </c>
      <c r="B79" s="5" t="s">
        <v>43</v>
      </c>
      <c r="C79" s="5" t="s">
        <v>310</v>
      </c>
      <c r="D79" s="5" t="s">
        <v>296</v>
      </c>
      <c r="E79" s="25">
        <v>142.5</v>
      </c>
      <c r="F79" s="25">
        <v>142.5</v>
      </c>
      <c r="G79" s="41">
        <f t="shared" si="1"/>
        <v>100</v>
      </c>
    </row>
    <row r="80" spans="1:7" ht="81.75" customHeight="1">
      <c r="A80" s="4" t="s">
        <v>443</v>
      </c>
      <c r="B80" s="5" t="s">
        <v>138</v>
      </c>
      <c r="C80" s="5" t="s">
        <v>310</v>
      </c>
      <c r="D80" s="5" t="s">
        <v>296</v>
      </c>
      <c r="E80" s="25">
        <v>140</v>
      </c>
      <c r="F80" s="25">
        <v>140</v>
      </c>
      <c r="G80" s="41">
        <f t="shared" si="1"/>
        <v>100</v>
      </c>
    </row>
    <row r="81" spans="1:7" ht="57">
      <c r="A81" s="6" t="s">
        <v>444</v>
      </c>
      <c r="B81" s="7" t="s">
        <v>81</v>
      </c>
      <c r="C81" s="7" t="s">
        <v>272</v>
      </c>
      <c r="D81" s="7" t="s">
        <v>294</v>
      </c>
      <c r="E81" s="26">
        <f>SUM(E82:E85)</f>
        <v>238</v>
      </c>
      <c r="F81" s="26">
        <f>SUM(F82:F85)</f>
        <v>169.18220000000002</v>
      </c>
      <c r="G81" s="40">
        <f t="shared" si="1"/>
        <v>71.08495798319329</v>
      </c>
    </row>
    <row r="82" spans="1:7" ht="73.5" customHeight="1">
      <c r="A82" s="4" t="s">
        <v>233</v>
      </c>
      <c r="B82" s="5" t="s">
        <v>300</v>
      </c>
      <c r="C82" s="5" t="s">
        <v>307</v>
      </c>
      <c r="D82" s="5" t="s">
        <v>263</v>
      </c>
      <c r="E82" s="25">
        <v>3</v>
      </c>
      <c r="F82" s="25">
        <v>3</v>
      </c>
      <c r="G82" s="41">
        <f t="shared" si="1"/>
        <v>100</v>
      </c>
    </row>
    <row r="83" spans="1:7" ht="90">
      <c r="A83" s="4" t="s">
        <v>234</v>
      </c>
      <c r="B83" s="5" t="s">
        <v>300</v>
      </c>
      <c r="C83" s="5" t="s">
        <v>310</v>
      </c>
      <c r="D83" s="5" t="s">
        <v>263</v>
      </c>
      <c r="E83" s="25">
        <v>210</v>
      </c>
      <c r="F83" s="25">
        <v>144.9472</v>
      </c>
      <c r="G83" s="41">
        <f t="shared" si="1"/>
        <v>69.02247619047618</v>
      </c>
    </row>
    <row r="84" spans="1:7" ht="90">
      <c r="A84" s="4" t="s">
        <v>234</v>
      </c>
      <c r="B84" s="5" t="s">
        <v>300</v>
      </c>
      <c r="C84" s="5" t="s">
        <v>310</v>
      </c>
      <c r="D84" s="5" t="s">
        <v>266</v>
      </c>
      <c r="E84" s="25">
        <v>5</v>
      </c>
      <c r="F84" s="25">
        <v>5</v>
      </c>
      <c r="G84" s="41">
        <f t="shared" si="1"/>
        <v>100</v>
      </c>
    </row>
    <row r="85" spans="1:7" ht="90">
      <c r="A85" s="4" t="s">
        <v>234</v>
      </c>
      <c r="B85" s="5" t="s">
        <v>300</v>
      </c>
      <c r="C85" s="5" t="s">
        <v>310</v>
      </c>
      <c r="D85" s="5" t="s">
        <v>285</v>
      </c>
      <c r="E85" s="25">
        <v>20</v>
      </c>
      <c r="F85" s="25">
        <v>16.235</v>
      </c>
      <c r="G85" s="41">
        <f t="shared" si="1"/>
        <v>81.175</v>
      </c>
    </row>
    <row r="86" spans="1:7" ht="42.75">
      <c r="A86" s="6" t="s">
        <v>235</v>
      </c>
      <c r="B86" s="7" t="s">
        <v>82</v>
      </c>
      <c r="C86" s="7" t="s">
        <v>272</v>
      </c>
      <c r="D86" s="7" t="s">
        <v>294</v>
      </c>
      <c r="E86" s="26">
        <f>SUM(E87:E89)</f>
        <v>2736.81988</v>
      </c>
      <c r="F86" s="26">
        <f>SUM(F87:F89)</f>
        <v>2735.5107799999996</v>
      </c>
      <c r="G86" s="40">
        <f t="shared" si="1"/>
        <v>99.95216711156014</v>
      </c>
    </row>
    <row r="87" spans="1:7" ht="90">
      <c r="A87" s="11" t="s">
        <v>236</v>
      </c>
      <c r="B87" s="5" t="s">
        <v>72</v>
      </c>
      <c r="C87" s="5" t="s">
        <v>310</v>
      </c>
      <c r="D87" s="5" t="s">
        <v>277</v>
      </c>
      <c r="E87" s="25">
        <f>2630-1478.03012</f>
        <v>1151.96988</v>
      </c>
      <c r="F87" s="25">
        <v>1150.66078</v>
      </c>
      <c r="G87" s="41">
        <f t="shared" si="1"/>
        <v>99.88635987600647</v>
      </c>
    </row>
    <row r="88" spans="1:7" ht="79.5" customHeight="1">
      <c r="A88" s="10" t="s">
        <v>607</v>
      </c>
      <c r="B88" s="5" t="s">
        <v>605</v>
      </c>
      <c r="C88" s="5" t="s">
        <v>308</v>
      </c>
      <c r="D88" s="5" t="s">
        <v>606</v>
      </c>
      <c r="E88" s="25">
        <v>1284.85</v>
      </c>
      <c r="F88" s="25">
        <v>1284.85</v>
      </c>
      <c r="G88" s="41">
        <f t="shared" si="1"/>
        <v>100</v>
      </c>
    </row>
    <row r="89" spans="1:10" ht="75">
      <c r="A89" s="15" t="s">
        <v>420</v>
      </c>
      <c r="B89" s="5" t="s">
        <v>421</v>
      </c>
      <c r="C89" s="5" t="s">
        <v>308</v>
      </c>
      <c r="D89" s="5" t="s">
        <v>277</v>
      </c>
      <c r="E89" s="25">
        <v>300</v>
      </c>
      <c r="F89" s="25">
        <v>300</v>
      </c>
      <c r="G89" s="41">
        <f t="shared" si="1"/>
        <v>100</v>
      </c>
      <c r="H89" s="31"/>
      <c r="I89" s="31"/>
      <c r="J89" s="31"/>
    </row>
    <row r="90" spans="1:7" ht="57">
      <c r="A90" s="16" t="s">
        <v>237</v>
      </c>
      <c r="B90" s="7" t="s">
        <v>83</v>
      </c>
      <c r="C90" s="7" t="s">
        <v>272</v>
      </c>
      <c r="D90" s="7" t="s">
        <v>294</v>
      </c>
      <c r="E90" s="26">
        <f>SUM(E91:E104)</f>
        <v>9820.54717</v>
      </c>
      <c r="F90" s="26">
        <f>SUM(F91:F104)</f>
        <v>9818.80837</v>
      </c>
      <c r="G90" s="40">
        <f t="shared" si="1"/>
        <v>99.98229426558521</v>
      </c>
    </row>
    <row r="91" spans="1:7" ht="90">
      <c r="A91" s="10" t="s">
        <v>422</v>
      </c>
      <c r="B91" s="9" t="s">
        <v>423</v>
      </c>
      <c r="C91" s="9" t="s">
        <v>307</v>
      </c>
      <c r="D91" s="9" t="s">
        <v>273</v>
      </c>
      <c r="E91" s="27">
        <f>115+30+13+4.4+8.4+19-4.83</f>
        <v>184.97</v>
      </c>
      <c r="F91" s="27">
        <v>184.97</v>
      </c>
      <c r="G91" s="41">
        <f t="shared" si="1"/>
        <v>100</v>
      </c>
    </row>
    <row r="92" spans="1:7" ht="75">
      <c r="A92" s="10" t="s">
        <v>181</v>
      </c>
      <c r="B92" s="9" t="s">
        <v>423</v>
      </c>
      <c r="C92" s="9" t="s">
        <v>309</v>
      </c>
      <c r="D92" s="9" t="s">
        <v>273</v>
      </c>
      <c r="E92" s="27">
        <f>60+2.73784</f>
        <v>62.73784</v>
      </c>
      <c r="F92" s="27">
        <v>62.73784</v>
      </c>
      <c r="G92" s="41">
        <f t="shared" si="1"/>
        <v>100</v>
      </c>
    </row>
    <row r="93" spans="1:7" ht="140.25" customHeight="1">
      <c r="A93" s="11" t="s">
        <v>238</v>
      </c>
      <c r="B93" s="9" t="s">
        <v>92</v>
      </c>
      <c r="C93" s="9" t="s">
        <v>306</v>
      </c>
      <c r="D93" s="9" t="s">
        <v>289</v>
      </c>
      <c r="E93" s="27">
        <f>3421-18.658-3.813-4.54731-17.385-90-1.78015-27.2-183.9-20-19.96-0.11639-3.813-34.12-11.3-1.065-8.8758-1.87-23.4075-10-12.785-30-1.191-4.4-3.813-8.4-3.813-5.8898-10.4115-1.93044-300-20.93429</f>
        <v>2535.6208199999996</v>
      </c>
      <c r="F93" s="27">
        <v>2534.72082</v>
      </c>
      <c r="G93" s="41">
        <f t="shared" si="1"/>
        <v>99.96450573394489</v>
      </c>
    </row>
    <row r="94" spans="1:7" ht="105">
      <c r="A94" s="11" t="s">
        <v>239</v>
      </c>
      <c r="B94" s="9" t="s">
        <v>92</v>
      </c>
      <c r="C94" s="9" t="s">
        <v>307</v>
      </c>
      <c r="D94" s="9" t="s">
        <v>289</v>
      </c>
      <c r="E94" s="27">
        <f>332.6+18.658+3.813+4.54731+17.385+1.78015+27.2+91.8+6.96+0.11639+3.813+34.12+11.3+1.065+8.8758+1.87+23.4075+10+12.785+1.191+3.813+3.813+5.8898+8.2995+1.93044+46.1-48.56666-5.04387-11.184</f>
        <v>618.3383600000001</v>
      </c>
      <c r="F94" s="27">
        <v>617.51956</v>
      </c>
      <c r="G94" s="41">
        <f t="shared" si="1"/>
        <v>99.86758059131247</v>
      </c>
    </row>
    <row r="95" spans="1:7" ht="90">
      <c r="A95" s="4" t="s">
        <v>240</v>
      </c>
      <c r="B95" s="5" t="s">
        <v>93</v>
      </c>
      <c r="C95" s="5" t="s">
        <v>307</v>
      </c>
      <c r="D95" s="5" t="s">
        <v>94</v>
      </c>
      <c r="E95" s="25">
        <f>150+60+92.1+20+13+17+2.112+38.005+12.5+42.082+110.5+53.39666-9.73808+11.184</f>
        <v>612.14158</v>
      </c>
      <c r="F95" s="25">
        <v>612.14158</v>
      </c>
      <c r="G95" s="41">
        <f t="shared" si="1"/>
        <v>100</v>
      </c>
    </row>
    <row r="96" spans="1:7" ht="90">
      <c r="A96" s="1" t="s">
        <v>316</v>
      </c>
      <c r="B96" s="5" t="s">
        <v>182</v>
      </c>
      <c r="C96" s="5" t="s">
        <v>307</v>
      </c>
      <c r="D96" s="5" t="s">
        <v>267</v>
      </c>
      <c r="E96" s="25">
        <f>50-11.6-0.07705</f>
        <v>38.32295</v>
      </c>
      <c r="F96" s="25">
        <v>38.32295</v>
      </c>
      <c r="G96" s="41">
        <f t="shared" si="1"/>
        <v>100</v>
      </c>
    </row>
    <row r="97" spans="1:7" ht="72" customHeight="1">
      <c r="A97" s="1" t="s">
        <v>183</v>
      </c>
      <c r="B97" s="5" t="s">
        <v>182</v>
      </c>
      <c r="C97" s="5" t="s">
        <v>309</v>
      </c>
      <c r="D97" s="5" t="s">
        <v>267</v>
      </c>
      <c r="E97" s="25">
        <f>5950-1187.3-0.08718</f>
        <v>4762.612819999999</v>
      </c>
      <c r="F97" s="25">
        <v>4762.61282</v>
      </c>
      <c r="G97" s="41">
        <f t="shared" si="1"/>
        <v>100.00000000000003</v>
      </c>
    </row>
    <row r="98" spans="1:7" ht="89.25" customHeight="1">
      <c r="A98" s="10" t="s">
        <v>317</v>
      </c>
      <c r="B98" s="5" t="s">
        <v>298</v>
      </c>
      <c r="C98" s="5" t="s">
        <v>307</v>
      </c>
      <c r="D98" s="5" t="s">
        <v>273</v>
      </c>
      <c r="E98" s="25">
        <f>3.2+0.515+0.99</f>
        <v>4.705</v>
      </c>
      <c r="F98" s="25">
        <v>4.685</v>
      </c>
      <c r="G98" s="41">
        <f t="shared" si="1"/>
        <v>99.57492029755578</v>
      </c>
    </row>
    <row r="99" spans="1:7" ht="90">
      <c r="A99" s="4" t="s">
        <v>241</v>
      </c>
      <c r="B99" s="5" t="s">
        <v>298</v>
      </c>
      <c r="C99" s="5" t="s">
        <v>309</v>
      </c>
      <c r="D99" s="5" t="s">
        <v>273</v>
      </c>
      <c r="E99" s="25">
        <f>606.2-0.515+78.1718</f>
        <v>683.8568</v>
      </c>
      <c r="F99" s="25">
        <v>683.8568</v>
      </c>
      <c r="G99" s="41">
        <f t="shared" si="1"/>
        <v>100</v>
      </c>
    </row>
    <row r="100" spans="1:7" ht="90">
      <c r="A100" s="1" t="s">
        <v>318</v>
      </c>
      <c r="B100" s="5" t="s">
        <v>95</v>
      </c>
      <c r="C100" s="5" t="s">
        <v>307</v>
      </c>
      <c r="D100" s="5" t="s">
        <v>273</v>
      </c>
      <c r="E100" s="25">
        <f>1.6-0.214</f>
        <v>1.3860000000000001</v>
      </c>
      <c r="F100" s="25">
        <v>1.386</v>
      </c>
      <c r="G100" s="41">
        <f t="shared" si="1"/>
        <v>99.99999999999999</v>
      </c>
    </row>
    <row r="101" spans="1:7" ht="72" customHeight="1">
      <c r="A101" s="1" t="s">
        <v>184</v>
      </c>
      <c r="B101" s="5" t="s">
        <v>95</v>
      </c>
      <c r="C101" s="5" t="s">
        <v>309</v>
      </c>
      <c r="D101" s="5" t="s">
        <v>273</v>
      </c>
      <c r="E101" s="25">
        <f>156-17.4</f>
        <v>138.6</v>
      </c>
      <c r="F101" s="25">
        <v>138.6</v>
      </c>
      <c r="G101" s="41">
        <f t="shared" si="1"/>
        <v>100</v>
      </c>
    </row>
    <row r="102" spans="1:7" ht="90" customHeight="1">
      <c r="A102" s="10" t="s">
        <v>319</v>
      </c>
      <c r="B102" s="5" t="s">
        <v>96</v>
      </c>
      <c r="C102" s="5" t="s">
        <v>307</v>
      </c>
      <c r="D102" s="5" t="s">
        <v>273</v>
      </c>
      <c r="E102" s="25">
        <f>2-0.245</f>
        <v>1.755</v>
      </c>
      <c r="F102" s="25">
        <v>1.755</v>
      </c>
      <c r="G102" s="41">
        <f t="shared" si="1"/>
        <v>100</v>
      </c>
    </row>
    <row r="103" spans="1:7" ht="90">
      <c r="A103" s="4" t="s">
        <v>242</v>
      </c>
      <c r="B103" s="5" t="s">
        <v>96</v>
      </c>
      <c r="C103" s="5" t="s">
        <v>309</v>
      </c>
      <c r="D103" s="5" t="s">
        <v>273</v>
      </c>
      <c r="E103" s="25">
        <f>178-2.5</f>
        <v>175.5</v>
      </c>
      <c r="F103" s="25">
        <v>175.5</v>
      </c>
      <c r="G103" s="41">
        <f t="shared" si="1"/>
        <v>100</v>
      </c>
    </row>
    <row r="104" spans="1:7" ht="120" hidden="1">
      <c r="A104" s="17" t="s">
        <v>186</v>
      </c>
      <c r="B104" s="5" t="s">
        <v>185</v>
      </c>
      <c r="C104" s="5" t="s">
        <v>310</v>
      </c>
      <c r="D104" s="5" t="s">
        <v>94</v>
      </c>
      <c r="E104" s="25">
        <f>180-57.005-12.5-61.54064-42.082-6.8-0.07236</f>
        <v>6.522560269672795E-16</v>
      </c>
      <c r="F104" s="25">
        <f>180-57.005-12.5-61.54064-42.082-6.8-0.07236</f>
        <v>6.522560269672795E-16</v>
      </c>
      <c r="G104" s="41">
        <f t="shared" si="1"/>
        <v>100</v>
      </c>
    </row>
    <row r="105" spans="1:7" ht="99.75">
      <c r="A105" s="6" t="s">
        <v>243</v>
      </c>
      <c r="B105" s="7" t="s">
        <v>88</v>
      </c>
      <c r="C105" s="7" t="s">
        <v>272</v>
      </c>
      <c r="D105" s="7" t="s">
        <v>294</v>
      </c>
      <c r="E105" s="26">
        <f>SUM(E106:E107)</f>
        <v>2805.8</v>
      </c>
      <c r="F105" s="26">
        <f>SUM(F106:F107)</f>
        <v>2757.17769</v>
      </c>
      <c r="G105" s="40">
        <f t="shared" si="1"/>
        <v>98.26707855157174</v>
      </c>
    </row>
    <row r="106" spans="1:7" ht="140.25" customHeight="1" hidden="1">
      <c r="A106" s="4" t="s">
        <v>244</v>
      </c>
      <c r="B106" s="5" t="s">
        <v>97</v>
      </c>
      <c r="C106" s="5" t="s">
        <v>307</v>
      </c>
      <c r="D106" s="5" t="s">
        <v>289</v>
      </c>
      <c r="E106" s="25">
        <f>550-550</f>
        <v>0</v>
      </c>
      <c r="F106" s="25">
        <f>550-550</f>
        <v>0</v>
      </c>
      <c r="G106" s="41" t="e">
        <f t="shared" si="1"/>
        <v>#DIV/0!</v>
      </c>
    </row>
    <row r="107" spans="1:7" ht="155.25" customHeight="1">
      <c r="A107" s="4" t="s">
        <v>42</v>
      </c>
      <c r="B107" s="5" t="s">
        <v>97</v>
      </c>
      <c r="C107" s="5" t="s">
        <v>310</v>
      </c>
      <c r="D107" s="5" t="s">
        <v>289</v>
      </c>
      <c r="E107" s="25">
        <f>550+3705.8-1450</f>
        <v>2805.8</v>
      </c>
      <c r="F107" s="25">
        <v>2757.17769</v>
      </c>
      <c r="G107" s="41">
        <f t="shared" si="1"/>
        <v>98.26707855157174</v>
      </c>
    </row>
    <row r="108" spans="1:7" ht="85.5">
      <c r="A108" s="6" t="s">
        <v>245</v>
      </c>
      <c r="B108" s="7" t="s">
        <v>84</v>
      </c>
      <c r="C108" s="7" t="s">
        <v>272</v>
      </c>
      <c r="D108" s="7" t="s">
        <v>294</v>
      </c>
      <c r="E108" s="26">
        <f>SUM(E109:E114)</f>
        <v>10881.757</v>
      </c>
      <c r="F108" s="26">
        <f>SUM(F109:F114)</f>
        <v>10761.50582</v>
      </c>
      <c r="G108" s="40">
        <f t="shared" si="1"/>
        <v>98.89492864065978</v>
      </c>
    </row>
    <row r="109" spans="1:7" ht="105">
      <c r="A109" s="4" t="s">
        <v>354</v>
      </c>
      <c r="B109" s="5" t="s">
        <v>98</v>
      </c>
      <c r="C109" s="5" t="s">
        <v>307</v>
      </c>
      <c r="D109" s="5" t="s">
        <v>259</v>
      </c>
      <c r="E109" s="25">
        <f>288+2.9</f>
        <v>290.9</v>
      </c>
      <c r="F109" s="25">
        <v>281.71482</v>
      </c>
      <c r="G109" s="41">
        <f t="shared" si="1"/>
        <v>96.84249570299072</v>
      </c>
    </row>
    <row r="110" spans="1:7" ht="105">
      <c r="A110" s="4" t="s">
        <v>354</v>
      </c>
      <c r="B110" s="5" t="s">
        <v>98</v>
      </c>
      <c r="C110" s="5" t="s">
        <v>307</v>
      </c>
      <c r="D110" s="5" t="s">
        <v>278</v>
      </c>
      <c r="E110" s="25">
        <f>50+144.8-5.283</f>
        <v>189.51700000000002</v>
      </c>
      <c r="F110" s="25">
        <v>189.504</v>
      </c>
      <c r="G110" s="41">
        <f t="shared" si="1"/>
        <v>99.99314045705661</v>
      </c>
    </row>
    <row r="111" spans="1:7" ht="120">
      <c r="A111" s="4" t="s">
        <v>355</v>
      </c>
      <c r="B111" s="5" t="s">
        <v>98</v>
      </c>
      <c r="C111" s="5" t="s">
        <v>310</v>
      </c>
      <c r="D111" s="5" t="s">
        <v>278</v>
      </c>
      <c r="E111" s="25">
        <v>180</v>
      </c>
      <c r="F111" s="25">
        <v>180</v>
      </c>
      <c r="G111" s="41">
        <f t="shared" si="1"/>
        <v>100</v>
      </c>
    </row>
    <row r="112" spans="1:7" ht="180">
      <c r="A112" s="10" t="s">
        <v>188</v>
      </c>
      <c r="B112" s="5" t="s">
        <v>187</v>
      </c>
      <c r="C112" s="5" t="s">
        <v>306</v>
      </c>
      <c r="D112" s="5" t="s">
        <v>259</v>
      </c>
      <c r="E112" s="25">
        <f>8655.7-6.242</f>
        <v>8649.458</v>
      </c>
      <c r="F112" s="25">
        <v>8592.07669</v>
      </c>
      <c r="G112" s="41">
        <f t="shared" si="1"/>
        <v>99.33659068579787</v>
      </c>
    </row>
    <row r="113" spans="1:7" ht="150">
      <c r="A113" s="10" t="s">
        <v>454</v>
      </c>
      <c r="B113" s="5" t="s">
        <v>187</v>
      </c>
      <c r="C113" s="5" t="s">
        <v>307</v>
      </c>
      <c r="D113" s="5" t="s">
        <v>259</v>
      </c>
      <c r="E113" s="25">
        <f>1380.04-2.6-0.9-2.9+6.242</f>
        <v>1379.8819999999998</v>
      </c>
      <c r="F113" s="25">
        <v>1328.63062</v>
      </c>
      <c r="G113" s="41">
        <f t="shared" si="1"/>
        <v>96.28581429426575</v>
      </c>
    </row>
    <row r="114" spans="1:7" ht="135">
      <c r="A114" s="10" t="s">
        <v>455</v>
      </c>
      <c r="B114" s="5" t="s">
        <v>187</v>
      </c>
      <c r="C114" s="5" t="s">
        <v>308</v>
      </c>
      <c r="D114" s="5" t="s">
        <v>259</v>
      </c>
      <c r="E114" s="25">
        <f>188.5+2.6+0.9</f>
        <v>192</v>
      </c>
      <c r="F114" s="25">
        <v>189.57969</v>
      </c>
      <c r="G114" s="43">
        <f t="shared" si="1"/>
        <v>98.739421875</v>
      </c>
    </row>
    <row r="115" spans="1:9" ht="42.75">
      <c r="A115" s="6" t="s">
        <v>356</v>
      </c>
      <c r="B115" s="7" t="s">
        <v>85</v>
      </c>
      <c r="C115" s="7" t="s">
        <v>272</v>
      </c>
      <c r="D115" s="7" t="s">
        <v>294</v>
      </c>
      <c r="E115" s="26">
        <f>SUM(E116,E120,E122)</f>
        <v>11612.3</v>
      </c>
      <c r="F115" s="26">
        <f>SUM(F116,F120,F122)</f>
        <v>11556.69279</v>
      </c>
      <c r="G115" s="40">
        <f t="shared" si="1"/>
        <v>99.52113526174831</v>
      </c>
      <c r="I115" s="37"/>
    </row>
    <row r="116" spans="1:7" ht="45">
      <c r="A116" s="4" t="s">
        <v>357</v>
      </c>
      <c r="B116" s="5" t="s">
        <v>99</v>
      </c>
      <c r="C116" s="5" t="s">
        <v>272</v>
      </c>
      <c r="D116" s="5" t="s">
        <v>294</v>
      </c>
      <c r="E116" s="25">
        <f>SUM(E117:E119)</f>
        <v>9807</v>
      </c>
      <c r="F116" s="25">
        <f>SUM(F117:F119)</f>
        <v>9751.47361</v>
      </c>
      <c r="G116" s="41">
        <f t="shared" si="1"/>
        <v>99.43380860609767</v>
      </c>
    </row>
    <row r="117" spans="1:7" ht="151.5" customHeight="1">
      <c r="A117" s="4" t="s">
        <v>358</v>
      </c>
      <c r="B117" s="5" t="s">
        <v>100</v>
      </c>
      <c r="C117" s="5" t="s">
        <v>306</v>
      </c>
      <c r="D117" s="5" t="s">
        <v>274</v>
      </c>
      <c r="E117" s="25">
        <v>9401</v>
      </c>
      <c r="F117" s="25">
        <v>9347.43666</v>
      </c>
      <c r="G117" s="41">
        <f t="shared" si="1"/>
        <v>99.43023784703755</v>
      </c>
    </row>
    <row r="118" spans="1:7" ht="120">
      <c r="A118" s="4" t="s">
        <v>491</v>
      </c>
      <c r="B118" s="9" t="s">
        <v>101</v>
      </c>
      <c r="C118" s="9" t="s">
        <v>307</v>
      </c>
      <c r="D118" s="9" t="s">
        <v>274</v>
      </c>
      <c r="E118" s="27">
        <f>400+1.5+3.633</f>
        <v>405.133</v>
      </c>
      <c r="F118" s="27">
        <v>403.16995</v>
      </c>
      <c r="G118" s="41">
        <f t="shared" si="1"/>
        <v>99.5154554183441</v>
      </c>
    </row>
    <row r="119" spans="1:7" ht="105">
      <c r="A119" s="4" t="s">
        <v>492</v>
      </c>
      <c r="B119" s="9" t="s">
        <v>101</v>
      </c>
      <c r="C119" s="9" t="s">
        <v>308</v>
      </c>
      <c r="D119" s="9" t="s">
        <v>274</v>
      </c>
      <c r="E119" s="27">
        <f>6-1.5-3.633</f>
        <v>0.867</v>
      </c>
      <c r="F119" s="27">
        <v>0.867</v>
      </c>
      <c r="G119" s="41">
        <f t="shared" si="1"/>
        <v>100</v>
      </c>
    </row>
    <row r="120" spans="1:7" ht="30">
      <c r="A120" s="11" t="s">
        <v>493</v>
      </c>
      <c r="B120" s="5" t="s">
        <v>102</v>
      </c>
      <c r="C120" s="5" t="s">
        <v>272</v>
      </c>
      <c r="D120" s="5" t="s">
        <v>294</v>
      </c>
      <c r="E120" s="25">
        <f>E121</f>
        <v>805.3</v>
      </c>
      <c r="F120" s="25">
        <f>F121</f>
        <v>805.21918</v>
      </c>
      <c r="G120" s="41">
        <f t="shared" si="1"/>
        <v>99.98996398857571</v>
      </c>
    </row>
    <row r="121" spans="1:7" ht="90">
      <c r="A121" s="4" t="s">
        <v>494</v>
      </c>
      <c r="B121" s="5" t="s">
        <v>103</v>
      </c>
      <c r="C121" s="5" t="s">
        <v>71</v>
      </c>
      <c r="D121" s="5" t="s">
        <v>284</v>
      </c>
      <c r="E121" s="25">
        <f>2036-1188.5-42.2</f>
        <v>805.3</v>
      </c>
      <c r="F121" s="25">
        <v>805.21918</v>
      </c>
      <c r="G121" s="41">
        <f t="shared" si="1"/>
        <v>99.98996398857571</v>
      </c>
    </row>
    <row r="122" spans="1:7" ht="30">
      <c r="A122" s="11" t="s">
        <v>331</v>
      </c>
      <c r="B122" s="5" t="s">
        <v>104</v>
      </c>
      <c r="C122" s="5" t="s">
        <v>272</v>
      </c>
      <c r="D122" s="5" t="s">
        <v>294</v>
      </c>
      <c r="E122" s="25">
        <f>SUM(E123:E124)</f>
        <v>1000</v>
      </c>
      <c r="F122" s="25">
        <f>SUM(F123:F124)</f>
        <v>1000</v>
      </c>
      <c r="G122" s="41">
        <f t="shared" si="1"/>
        <v>100</v>
      </c>
    </row>
    <row r="123" spans="1:7" ht="124.5" customHeight="1">
      <c r="A123" s="1" t="s">
        <v>320</v>
      </c>
      <c r="B123" s="5" t="s">
        <v>456</v>
      </c>
      <c r="C123" s="5" t="s">
        <v>310</v>
      </c>
      <c r="D123" s="5" t="s">
        <v>263</v>
      </c>
      <c r="E123" s="25">
        <v>486</v>
      </c>
      <c r="F123" s="25">
        <v>486</v>
      </c>
      <c r="G123" s="41">
        <f t="shared" si="1"/>
        <v>100</v>
      </c>
    </row>
    <row r="124" spans="1:7" ht="124.5" customHeight="1">
      <c r="A124" s="4" t="s">
        <v>457</v>
      </c>
      <c r="B124" s="18" t="s">
        <v>456</v>
      </c>
      <c r="C124" s="18" t="s">
        <v>310</v>
      </c>
      <c r="D124" s="18" t="s">
        <v>266</v>
      </c>
      <c r="E124" s="28">
        <v>514</v>
      </c>
      <c r="F124" s="28">
        <v>514</v>
      </c>
      <c r="G124" s="41">
        <f t="shared" si="1"/>
        <v>100</v>
      </c>
    </row>
    <row r="125" spans="1:7" ht="42.75">
      <c r="A125" s="6" t="s">
        <v>495</v>
      </c>
      <c r="B125" s="7" t="s">
        <v>86</v>
      </c>
      <c r="C125" s="7" t="s">
        <v>272</v>
      </c>
      <c r="D125" s="7" t="s">
        <v>294</v>
      </c>
      <c r="E125" s="26">
        <f>SUM(E126:E128)</f>
        <v>20453.5</v>
      </c>
      <c r="F125" s="26">
        <f>SUM(F126:F128)</f>
        <v>20444.04164</v>
      </c>
      <c r="G125" s="40">
        <f t="shared" si="1"/>
        <v>99.95375676534579</v>
      </c>
    </row>
    <row r="126" spans="1:7" ht="90">
      <c r="A126" s="10" t="s">
        <v>3</v>
      </c>
      <c r="B126" s="5" t="s">
        <v>4</v>
      </c>
      <c r="C126" s="5" t="s">
        <v>310</v>
      </c>
      <c r="D126" s="5" t="s">
        <v>264</v>
      </c>
      <c r="E126" s="25">
        <f>7690+1895.7+582.8</f>
        <v>10168.5</v>
      </c>
      <c r="F126" s="25">
        <f>1886.24164+8272.8</f>
        <v>10159.04164</v>
      </c>
      <c r="G126" s="41">
        <f t="shared" si="1"/>
        <v>99.90698372424644</v>
      </c>
    </row>
    <row r="127" spans="1:7" ht="90">
      <c r="A127" s="10" t="s">
        <v>5</v>
      </c>
      <c r="B127" s="5" t="s">
        <v>6</v>
      </c>
      <c r="C127" s="5" t="s">
        <v>310</v>
      </c>
      <c r="D127" s="5" t="s">
        <v>264</v>
      </c>
      <c r="E127" s="25">
        <v>510</v>
      </c>
      <c r="F127" s="25">
        <v>510</v>
      </c>
      <c r="G127" s="41">
        <f t="shared" si="1"/>
        <v>100</v>
      </c>
    </row>
    <row r="128" spans="1:7" ht="90">
      <c r="A128" s="4" t="s">
        <v>496</v>
      </c>
      <c r="B128" s="5" t="s">
        <v>105</v>
      </c>
      <c r="C128" s="5" t="s">
        <v>310</v>
      </c>
      <c r="D128" s="5" t="s">
        <v>264</v>
      </c>
      <c r="E128" s="25">
        <v>9775</v>
      </c>
      <c r="F128" s="25">
        <v>9775</v>
      </c>
      <c r="G128" s="41">
        <f t="shared" si="1"/>
        <v>100</v>
      </c>
    </row>
    <row r="129" spans="1:7" ht="57">
      <c r="A129" s="6" t="s">
        <v>322</v>
      </c>
      <c r="B129" s="7" t="s">
        <v>87</v>
      </c>
      <c r="C129" s="7" t="s">
        <v>272</v>
      </c>
      <c r="D129" s="7" t="s">
        <v>294</v>
      </c>
      <c r="E129" s="26">
        <f>E130+E133</f>
        <v>20919</v>
      </c>
      <c r="F129" s="26">
        <f>F130+F133</f>
        <v>20919</v>
      </c>
      <c r="G129" s="40">
        <f t="shared" si="1"/>
        <v>100</v>
      </c>
    </row>
    <row r="130" spans="1:7" ht="45">
      <c r="A130" s="4" t="s">
        <v>7</v>
      </c>
      <c r="B130" s="9" t="s">
        <v>15</v>
      </c>
      <c r="C130" s="9" t="s">
        <v>272</v>
      </c>
      <c r="D130" s="9" t="s">
        <v>294</v>
      </c>
      <c r="E130" s="27">
        <f>SUM(E131:E132)</f>
        <v>17036</v>
      </c>
      <c r="F130" s="27">
        <f>SUM(F131:F132)</f>
        <v>17036</v>
      </c>
      <c r="G130" s="41">
        <f t="shared" si="1"/>
        <v>100</v>
      </c>
    </row>
    <row r="131" spans="1:7" ht="135">
      <c r="A131" s="1" t="s">
        <v>9</v>
      </c>
      <c r="B131" s="9" t="s">
        <v>8</v>
      </c>
      <c r="C131" s="9" t="s">
        <v>310</v>
      </c>
      <c r="D131" s="9" t="s">
        <v>263</v>
      </c>
      <c r="E131" s="27">
        <v>4309</v>
      </c>
      <c r="F131" s="27">
        <v>4309</v>
      </c>
      <c r="G131" s="41">
        <f t="shared" si="1"/>
        <v>100</v>
      </c>
    </row>
    <row r="132" spans="1:7" ht="195">
      <c r="A132" s="10" t="s">
        <v>466</v>
      </c>
      <c r="B132" s="9" t="s">
        <v>10</v>
      </c>
      <c r="C132" s="9" t="s">
        <v>310</v>
      </c>
      <c r="D132" s="9" t="s">
        <v>263</v>
      </c>
      <c r="E132" s="27">
        <f>13936-1209</f>
        <v>12727</v>
      </c>
      <c r="F132" s="27">
        <v>12727</v>
      </c>
      <c r="G132" s="41">
        <f t="shared" si="1"/>
        <v>100</v>
      </c>
    </row>
    <row r="133" spans="1:7" ht="45">
      <c r="A133" s="10" t="s">
        <v>11</v>
      </c>
      <c r="B133" s="9" t="s">
        <v>12</v>
      </c>
      <c r="C133" s="9" t="s">
        <v>272</v>
      </c>
      <c r="D133" s="9" t="s">
        <v>294</v>
      </c>
      <c r="E133" s="27">
        <f>E134</f>
        <v>3883</v>
      </c>
      <c r="F133" s="27">
        <f>F134</f>
        <v>3883</v>
      </c>
      <c r="G133" s="41">
        <f t="shared" si="1"/>
        <v>100</v>
      </c>
    </row>
    <row r="134" spans="1:7" ht="135">
      <c r="A134" s="1" t="s">
        <v>14</v>
      </c>
      <c r="B134" s="9" t="s">
        <v>13</v>
      </c>
      <c r="C134" s="9" t="s">
        <v>310</v>
      </c>
      <c r="D134" s="9" t="s">
        <v>262</v>
      </c>
      <c r="E134" s="27">
        <v>3883</v>
      </c>
      <c r="F134" s="27">
        <v>3883</v>
      </c>
      <c r="G134" s="41">
        <f t="shared" si="1"/>
        <v>100</v>
      </c>
    </row>
    <row r="135" spans="1:7" ht="28.5">
      <c r="A135" s="6" t="s">
        <v>497</v>
      </c>
      <c r="B135" s="7" t="s">
        <v>106</v>
      </c>
      <c r="C135" s="7" t="s">
        <v>272</v>
      </c>
      <c r="D135" s="7" t="s">
        <v>294</v>
      </c>
      <c r="E135" s="26">
        <f>SUM(E136:E161,E175,E194)</f>
        <v>1034271.056</v>
      </c>
      <c r="F135" s="26">
        <f>SUM(F136:F161,F175,F194)</f>
        <v>1033111.0796899999</v>
      </c>
      <c r="G135" s="40">
        <f t="shared" si="1"/>
        <v>99.88784600484846</v>
      </c>
    </row>
    <row r="136" spans="1:7" ht="108" customHeight="1">
      <c r="A136" s="4" t="s">
        <v>498</v>
      </c>
      <c r="B136" s="5" t="s">
        <v>107</v>
      </c>
      <c r="C136" s="5" t="s">
        <v>306</v>
      </c>
      <c r="D136" s="5" t="s">
        <v>265</v>
      </c>
      <c r="E136" s="25">
        <f>6939-42.4281-24.5-20-30-15.5-1022.89186+11.26622+94+730.2</f>
        <v>6619.14626</v>
      </c>
      <c r="F136" s="25">
        <v>6473.35255</v>
      </c>
      <c r="G136" s="41">
        <f t="shared" si="1"/>
        <v>97.79739404036071</v>
      </c>
    </row>
    <row r="137" spans="1:7" ht="75" hidden="1">
      <c r="A137" s="4" t="s">
        <v>499</v>
      </c>
      <c r="B137" s="9" t="s">
        <v>108</v>
      </c>
      <c r="C137" s="9" t="s">
        <v>307</v>
      </c>
      <c r="D137" s="9" t="s">
        <v>265</v>
      </c>
      <c r="E137" s="27"/>
      <c r="F137" s="27"/>
      <c r="G137" s="41" t="e">
        <f t="shared" si="1"/>
        <v>#DIV/0!</v>
      </c>
    </row>
    <row r="138" spans="1:7" ht="60" hidden="1">
      <c r="A138" s="4" t="s">
        <v>500</v>
      </c>
      <c r="B138" s="9" t="s">
        <v>108</v>
      </c>
      <c r="C138" s="5" t="s">
        <v>308</v>
      </c>
      <c r="D138" s="9" t="s">
        <v>265</v>
      </c>
      <c r="E138" s="25"/>
      <c r="F138" s="25"/>
      <c r="G138" s="41" t="e">
        <f t="shared" si="1"/>
        <v>#DIV/0!</v>
      </c>
    </row>
    <row r="139" spans="1:7" ht="120">
      <c r="A139" s="4" t="s">
        <v>501</v>
      </c>
      <c r="B139" s="5" t="s">
        <v>109</v>
      </c>
      <c r="C139" s="5" t="s">
        <v>306</v>
      </c>
      <c r="D139" s="5" t="s">
        <v>265</v>
      </c>
      <c r="E139" s="25">
        <f>2577-193.83866+36+4.4441+197.5</f>
        <v>2621.1054400000003</v>
      </c>
      <c r="F139" s="25">
        <v>2621.08473</v>
      </c>
      <c r="G139" s="41">
        <f aca="true" t="shared" si="2" ref="G139:G202">F139/E139*100</f>
        <v>99.99920987535701</v>
      </c>
    </row>
    <row r="140" spans="1:7" ht="75">
      <c r="A140" s="4" t="s">
        <v>502</v>
      </c>
      <c r="B140" s="5" t="s">
        <v>109</v>
      </c>
      <c r="C140" s="5" t="s">
        <v>307</v>
      </c>
      <c r="D140" s="5" t="s">
        <v>265</v>
      </c>
      <c r="E140" s="25">
        <f>1226-100-400-162-5.58522-4.4441</f>
        <v>553.9706799999999</v>
      </c>
      <c r="F140" s="25">
        <v>553.97068</v>
      </c>
      <c r="G140" s="41">
        <f t="shared" si="2"/>
        <v>100.00000000000003</v>
      </c>
    </row>
    <row r="141" spans="1:7" ht="90">
      <c r="A141" s="4" t="s">
        <v>503</v>
      </c>
      <c r="B141" s="5" t="s">
        <v>109</v>
      </c>
      <c r="C141" s="5" t="s">
        <v>310</v>
      </c>
      <c r="D141" s="5" t="s">
        <v>265</v>
      </c>
      <c r="E141" s="25">
        <f>6904</f>
        <v>6904</v>
      </c>
      <c r="F141" s="25">
        <v>6904</v>
      </c>
      <c r="G141" s="41">
        <f t="shared" si="2"/>
        <v>100</v>
      </c>
    </row>
    <row r="142" spans="1:7" ht="60">
      <c r="A142" s="4" t="s">
        <v>504</v>
      </c>
      <c r="B142" s="5" t="s">
        <v>109</v>
      </c>
      <c r="C142" s="5" t="s">
        <v>308</v>
      </c>
      <c r="D142" s="5" t="s">
        <v>265</v>
      </c>
      <c r="E142" s="25">
        <f>16-8.196-2-5.681</f>
        <v>0.12300000000000022</v>
      </c>
      <c r="F142" s="25">
        <v>0.123</v>
      </c>
      <c r="G142" s="41">
        <f t="shared" si="2"/>
        <v>99.99999999999983</v>
      </c>
    </row>
    <row r="143" spans="1:7" ht="105">
      <c r="A143" s="4" t="s">
        <v>505</v>
      </c>
      <c r="B143" s="5" t="s">
        <v>110</v>
      </c>
      <c r="C143" s="5" t="s">
        <v>306</v>
      </c>
      <c r="D143" s="5" t="s">
        <v>265</v>
      </c>
      <c r="E143" s="29">
        <f>15826+1.248-137.01078+2.763+1.309+1.863+0.671+0.621+3.774+0.62+0.627+9.577+0.627-1525.02374+0.6+247.5+1367.5</f>
        <v>15803.265479999998</v>
      </c>
      <c r="F143" s="29">
        <v>15501.80673</v>
      </c>
      <c r="G143" s="41">
        <f t="shared" si="2"/>
        <v>98.09242747721025</v>
      </c>
    </row>
    <row r="144" spans="1:7" ht="58.5" customHeight="1">
      <c r="A144" s="4" t="s">
        <v>334</v>
      </c>
      <c r="B144" s="5" t="s">
        <v>110</v>
      </c>
      <c r="C144" s="5" t="s">
        <v>307</v>
      </c>
      <c r="D144" s="5" t="s">
        <v>265</v>
      </c>
      <c r="E144" s="29">
        <f>1642-1.248+137.01078-2.763+100-1.309+298.137-0.671-0.621-14.962-3.774-0.62+42.4281-0.627+14.923+20+29.373+15.5+26.3953+45.24619+2-0.6+119.1</f>
        <v>2464.9183700000003</v>
      </c>
      <c r="F144" s="29">
        <v>2464.91837</v>
      </c>
      <c r="G144" s="41">
        <f t="shared" si="2"/>
        <v>99.99999999999997</v>
      </c>
    </row>
    <row r="145" spans="1:7" ht="60">
      <c r="A145" s="4" t="s">
        <v>335</v>
      </c>
      <c r="B145" s="5" t="s">
        <v>110</v>
      </c>
      <c r="C145" s="5" t="s">
        <v>308</v>
      </c>
      <c r="D145" s="5" t="s">
        <v>265</v>
      </c>
      <c r="E145" s="29">
        <f>27+14.962+4.5</f>
        <v>46.462</v>
      </c>
      <c r="F145" s="29">
        <v>46.462</v>
      </c>
      <c r="G145" s="41">
        <f t="shared" si="2"/>
        <v>100</v>
      </c>
    </row>
    <row r="146" spans="1:7" ht="90">
      <c r="A146" s="4" t="s">
        <v>405</v>
      </c>
      <c r="B146" s="5" t="s">
        <v>111</v>
      </c>
      <c r="C146" s="5" t="s">
        <v>70</v>
      </c>
      <c r="D146" s="5" t="s">
        <v>268</v>
      </c>
      <c r="E146" s="25">
        <f>13244.9-13244.9+6622.4-6622.4+6622.4-2288.32-384.28</f>
        <v>3949.8</v>
      </c>
      <c r="F146" s="25">
        <v>3949.8</v>
      </c>
      <c r="G146" s="41">
        <f t="shared" si="2"/>
        <v>100</v>
      </c>
    </row>
    <row r="147" spans="1:7" ht="121.5" customHeight="1">
      <c r="A147" s="4" t="s">
        <v>336</v>
      </c>
      <c r="B147" s="5" t="s">
        <v>112</v>
      </c>
      <c r="C147" s="5" t="s">
        <v>306</v>
      </c>
      <c r="D147" s="5" t="s">
        <v>268</v>
      </c>
      <c r="E147" s="25">
        <f>2128+1.85+0.652+0.55+0.5+1.221+35.58054+115.77811</f>
        <v>2284.1316500000003</v>
      </c>
      <c r="F147" s="25">
        <v>2284.13165</v>
      </c>
      <c r="G147" s="41">
        <f t="shared" si="2"/>
        <v>99.99999999999997</v>
      </c>
    </row>
    <row r="148" spans="1:7" ht="90">
      <c r="A148" s="4" t="s">
        <v>424</v>
      </c>
      <c r="B148" s="9" t="s">
        <v>112</v>
      </c>
      <c r="C148" s="9" t="s">
        <v>307</v>
      </c>
      <c r="D148" s="9" t="s">
        <v>268</v>
      </c>
      <c r="E148" s="27">
        <f>682-1.85-0.652-244-0.55-0.5-1.221-35.58054-115.77811</f>
        <v>281.86834999999996</v>
      </c>
      <c r="F148" s="27">
        <v>281.86835</v>
      </c>
      <c r="G148" s="41">
        <f t="shared" si="2"/>
        <v>100.00000000000003</v>
      </c>
    </row>
    <row r="149" spans="1:7" ht="90">
      <c r="A149" s="10" t="s">
        <v>437</v>
      </c>
      <c r="B149" s="5" t="s">
        <v>113</v>
      </c>
      <c r="C149" s="5" t="s">
        <v>307</v>
      </c>
      <c r="D149" s="5" t="s">
        <v>273</v>
      </c>
      <c r="E149" s="27">
        <f>23+1.00534+0.86951+2.31973+3.02764+7.9+0.97898+2.99315</f>
        <v>42.09435</v>
      </c>
      <c r="F149" s="27">
        <v>42.09435</v>
      </c>
      <c r="G149" s="41">
        <f t="shared" si="2"/>
        <v>100</v>
      </c>
    </row>
    <row r="150" spans="1:7" ht="90">
      <c r="A150" s="4" t="s">
        <v>425</v>
      </c>
      <c r="B150" s="5" t="s">
        <v>113</v>
      </c>
      <c r="C150" s="5" t="s">
        <v>309</v>
      </c>
      <c r="D150" s="5" t="s">
        <v>273</v>
      </c>
      <c r="E150" s="29">
        <f>2270-1.00534-0.86951-2.31973-3.02764+217.1+183.21483+290+23.83458</f>
        <v>2976.92719</v>
      </c>
      <c r="F150" s="29">
        <v>2976.92719</v>
      </c>
      <c r="G150" s="41">
        <f t="shared" si="2"/>
        <v>100</v>
      </c>
    </row>
    <row r="151" spans="1:7" ht="90">
      <c r="A151" s="4" t="s">
        <v>405</v>
      </c>
      <c r="B151" s="5" t="s">
        <v>114</v>
      </c>
      <c r="C151" s="5" t="s">
        <v>70</v>
      </c>
      <c r="D151" s="5" t="s">
        <v>268</v>
      </c>
      <c r="E151" s="25">
        <f>6622.4-6622.4+13244.9-535.68+535.68-535.68+384.28</f>
        <v>13093.5</v>
      </c>
      <c r="F151" s="25">
        <f>0+12709.2168</f>
        <v>12709.2168</v>
      </c>
      <c r="G151" s="41">
        <f t="shared" si="2"/>
        <v>97.065084202085</v>
      </c>
    </row>
    <row r="152" spans="1:7" ht="110.25" customHeight="1">
      <c r="A152" s="10" t="s">
        <v>588</v>
      </c>
      <c r="B152" s="5" t="s">
        <v>586</v>
      </c>
      <c r="C152" s="5" t="s">
        <v>70</v>
      </c>
      <c r="D152" s="5" t="s">
        <v>268</v>
      </c>
      <c r="E152" s="25">
        <v>2824</v>
      </c>
      <c r="F152" s="25">
        <v>2633.2</v>
      </c>
      <c r="G152" s="41">
        <f t="shared" si="2"/>
        <v>93.24362606232293</v>
      </c>
    </row>
    <row r="153" spans="1:7" ht="105">
      <c r="A153" s="10" t="s">
        <v>372</v>
      </c>
      <c r="B153" s="5" t="s">
        <v>127</v>
      </c>
      <c r="C153" s="5" t="s">
        <v>307</v>
      </c>
      <c r="D153" s="5" t="s">
        <v>268</v>
      </c>
      <c r="E153" s="25">
        <f>120-13.24186</f>
        <v>106.75814</v>
      </c>
      <c r="F153" s="25">
        <v>106.75814</v>
      </c>
      <c r="G153" s="41">
        <f t="shared" si="2"/>
        <v>100</v>
      </c>
    </row>
    <row r="154" spans="1:7" ht="90">
      <c r="A154" s="10" t="s">
        <v>373</v>
      </c>
      <c r="B154" s="5" t="s">
        <v>127</v>
      </c>
      <c r="C154" s="5" t="s">
        <v>309</v>
      </c>
      <c r="D154" s="5" t="s">
        <v>268</v>
      </c>
      <c r="E154" s="25">
        <f>11880+347.05022+314.47278+4.999+9.28527+5.69273+80.5-896.2087-78.925</f>
        <v>11666.866300000002</v>
      </c>
      <c r="F154" s="25">
        <v>11666.8663</v>
      </c>
      <c r="G154" s="41">
        <f t="shared" si="2"/>
        <v>99.99999999999999</v>
      </c>
    </row>
    <row r="155" spans="1:7" ht="105">
      <c r="A155" s="10" t="s">
        <v>374</v>
      </c>
      <c r="B155" s="5" t="s">
        <v>128</v>
      </c>
      <c r="C155" s="5" t="s">
        <v>307</v>
      </c>
      <c r="D155" s="5" t="s">
        <v>268</v>
      </c>
      <c r="E155" s="25">
        <f>100-2.76609</f>
        <v>97.23391</v>
      </c>
      <c r="F155" s="25">
        <v>97.23391</v>
      </c>
      <c r="G155" s="41">
        <f t="shared" si="2"/>
        <v>100</v>
      </c>
    </row>
    <row r="156" spans="1:7" ht="90">
      <c r="A156" s="10" t="s">
        <v>375</v>
      </c>
      <c r="B156" s="5" t="s">
        <v>128</v>
      </c>
      <c r="C156" s="5" t="s">
        <v>309</v>
      </c>
      <c r="D156" s="5" t="s">
        <v>268</v>
      </c>
      <c r="E156" s="25">
        <f>14900-660.07022-639.47278-4.999-9.28527-5.69273+165.03259+358.69119</f>
        <v>14104.20378</v>
      </c>
      <c r="F156" s="25">
        <v>14104.20378</v>
      </c>
      <c r="G156" s="41">
        <f t="shared" si="2"/>
        <v>100</v>
      </c>
    </row>
    <row r="157" spans="1:7" ht="105">
      <c r="A157" s="10" t="s">
        <v>376</v>
      </c>
      <c r="B157" s="5" t="s">
        <v>129</v>
      </c>
      <c r="C157" s="5" t="s">
        <v>307</v>
      </c>
      <c r="D157" s="5" t="s">
        <v>268</v>
      </c>
      <c r="E157" s="25">
        <f>212+3.77536</f>
        <v>215.77536</v>
      </c>
      <c r="F157" s="25">
        <v>215.77536</v>
      </c>
      <c r="G157" s="41">
        <f t="shared" si="2"/>
        <v>100</v>
      </c>
    </row>
    <row r="158" spans="1:7" ht="90">
      <c r="A158" s="10" t="s">
        <v>377</v>
      </c>
      <c r="B158" s="5" t="s">
        <v>129</v>
      </c>
      <c r="C158" s="5" t="s">
        <v>309</v>
      </c>
      <c r="D158" s="5" t="s">
        <v>268</v>
      </c>
      <c r="E158" s="25">
        <f>20951+313.02+325+90+380.80881+896.2087-73.875</f>
        <v>22882.16251</v>
      </c>
      <c r="F158" s="25">
        <v>22882.16251</v>
      </c>
      <c r="G158" s="41">
        <f t="shared" si="2"/>
        <v>100</v>
      </c>
    </row>
    <row r="159" spans="1:7" ht="105.75" customHeight="1">
      <c r="A159" s="1" t="s">
        <v>544</v>
      </c>
      <c r="B159" s="5" t="s">
        <v>543</v>
      </c>
      <c r="C159" s="5" t="s">
        <v>70</v>
      </c>
      <c r="D159" s="5" t="s">
        <v>262</v>
      </c>
      <c r="E159" s="25">
        <f>2832.1-544.54</f>
        <v>2287.56</v>
      </c>
      <c r="F159" s="25">
        <v>2287.56</v>
      </c>
      <c r="G159" s="41">
        <f t="shared" si="2"/>
        <v>100</v>
      </c>
    </row>
    <row r="160" spans="1:7" ht="105.75" customHeight="1">
      <c r="A160" s="1" t="s">
        <v>616</v>
      </c>
      <c r="B160" s="5" t="s">
        <v>549</v>
      </c>
      <c r="C160" s="5" t="s">
        <v>70</v>
      </c>
      <c r="D160" s="5" t="s">
        <v>262</v>
      </c>
      <c r="E160" s="25">
        <f>53808.84-10346.17</f>
        <v>43462.67</v>
      </c>
      <c r="F160" s="25">
        <v>43462.67</v>
      </c>
      <c r="G160" s="41">
        <f t="shared" si="2"/>
        <v>100</v>
      </c>
    </row>
    <row r="161" spans="1:7" ht="30">
      <c r="A161" s="4" t="s">
        <v>426</v>
      </c>
      <c r="B161" s="9" t="s">
        <v>115</v>
      </c>
      <c r="C161" s="9" t="s">
        <v>272</v>
      </c>
      <c r="D161" s="9" t="s">
        <v>294</v>
      </c>
      <c r="E161" s="27">
        <f>SUM(E162:E174)</f>
        <v>442073.97130000003</v>
      </c>
      <c r="F161" s="27">
        <f>SUM(F162:F174)</f>
        <v>442073.97130000003</v>
      </c>
      <c r="G161" s="41">
        <f t="shared" si="2"/>
        <v>100</v>
      </c>
    </row>
    <row r="162" spans="1:7" ht="90">
      <c r="A162" s="4" t="s">
        <v>427</v>
      </c>
      <c r="B162" s="5" t="s">
        <v>116</v>
      </c>
      <c r="C162" s="5" t="s">
        <v>310</v>
      </c>
      <c r="D162" s="5" t="s">
        <v>262</v>
      </c>
      <c r="E162" s="25">
        <f>10331+352-89.62-500+544.54</f>
        <v>10637.919999999998</v>
      </c>
      <c r="F162" s="25">
        <v>10637.92</v>
      </c>
      <c r="G162" s="41">
        <f t="shared" si="2"/>
        <v>100.00000000000003</v>
      </c>
    </row>
    <row r="163" spans="1:7" ht="90.75" customHeight="1">
      <c r="A163" s="4" t="s">
        <v>428</v>
      </c>
      <c r="B163" s="5" t="s">
        <v>117</v>
      </c>
      <c r="C163" s="5" t="s">
        <v>310</v>
      </c>
      <c r="D163" s="5" t="s">
        <v>262</v>
      </c>
      <c r="E163" s="25">
        <f>147914+3369.7337+1532.38342+10104.7+7115</f>
        <v>170035.81712000002</v>
      </c>
      <c r="F163" s="25">
        <v>170035.81712</v>
      </c>
      <c r="G163" s="41">
        <f t="shared" si="2"/>
        <v>99.99999999999997</v>
      </c>
    </row>
    <row r="164" spans="1:7" ht="90.75" customHeight="1">
      <c r="A164" s="10" t="s">
        <v>591</v>
      </c>
      <c r="B164" s="5" t="s">
        <v>590</v>
      </c>
      <c r="C164" s="5" t="s">
        <v>309</v>
      </c>
      <c r="D164" s="5" t="s">
        <v>262</v>
      </c>
      <c r="E164" s="25">
        <v>500</v>
      </c>
      <c r="F164" s="25">
        <v>500</v>
      </c>
      <c r="G164" s="41">
        <f t="shared" si="2"/>
        <v>100</v>
      </c>
    </row>
    <row r="165" spans="1:7" ht="90.75" customHeight="1">
      <c r="A165" s="10" t="s">
        <v>551</v>
      </c>
      <c r="B165" s="5" t="s">
        <v>550</v>
      </c>
      <c r="C165" s="5" t="s">
        <v>310</v>
      </c>
      <c r="D165" s="5" t="s">
        <v>262</v>
      </c>
      <c r="E165" s="25">
        <f>1824+10346.17</f>
        <v>12170.17</v>
      </c>
      <c r="F165" s="25">
        <v>12170.17</v>
      </c>
      <c r="G165" s="41">
        <f t="shared" si="2"/>
        <v>100</v>
      </c>
    </row>
    <row r="166" spans="1:7" ht="90.75" customHeight="1">
      <c r="A166" s="14" t="s">
        <v>554</v>
      </c>
      <c r="B166" s="5" t="s">
        <v>552</v>
      </c>
      <c r="C166" s="5" t="s">
        <v>310</v>
      </c>
      <c r="D166" s="5" t="s">
        <v>553</v>
      </c>
      <c r="E166" s="25">
        <v>343.5</v>
      </c>
      <c r="F166" s="25">
        <v>343.5</v>
      </c>
      <c r="G166" s="41">
        <f t="shared" si="2"/>
        <v>100</v>
      </c>
    </row>
    <row r="167" spans="1:7" ht="104.25" customHeight="1">
      <c r="A167" s="4" t="s">
        <v>429</v>
      </c>
      <c r="B167" s="5" t="s">
        <v>118</v>
      </c>
      <c r="C167" s="5" t="s">
        <v>310</v>
      </c>
      <c r="D167" s="5" t="s">
        <v>262</v>
      </c>
      <c r="E167" s="25">
        <f>209425.1+4032</f>
        <v>213457.1</v>
      </c>
      <c r="F167" s="25">
        <v>213457.1</v>
      </c>
      <c r="G167" s="41">
        <f t="shared" si="2"/>
        <v>100</v>
      </c>
    </row>
    <row r="168" spans="1:7" ht="90">
      <c r="A168" s="4" t="s">
        <v>430</v>
      </c>
      <c r="B168" s="5" t="s">
        <v>119</v>
      </c>
      <c r="C168" s="5" t="s">
        <v>307</v>
      </c>
      <c r="D168" s="5" t="s">
        <v>273</v>
      </c>
      <c r="E168" s="25">
        <f>12.8-1.33238</f>
        <v>11.46762</v>
      </c>
      <c r="F168" s="25">
        <v>11.46762</v>
      </c>
      <c r="G168" s="41">
        <f t="shared" si="2"/>
        <v>100</v>
      </c>
    </row>
    <row r="169" spans="1:7" ht="75" customHeight="1">
      <c r="A169" s="4" t="s">
        <v>371</v>
      </c>
      <c r="B169" s="5" t="s">
        <v>119</v>
      </c>
      <c r="C169" s="5" t="s">
        <v>309</v>
      </c>
      <c r="D169" s="5" t="s">
        <v>273</v>
      </c>
      <c r="E169" s="25">
        <f>1269.2-124.26762</f>
        <v>1144.93238</v>
      </c>
      <c r="F169" s="25">
        <v>1144.93238</v>
      </c>
      <c r="G169" s="41">
        <f t="shared" si="2"/>
        <v>100</v>
      </c>
    </row>
    <row r="170" spans="1:7" ht="120">
      <c r="A170" s="10" t="s">
        <v>438</v>
      </c>
      <c r="B170" s="5" t="s">
        <v>120</v>
      </c>
      <c r="C170" s="5" t="s">
        <v>307</v>
      </c>
      <c r="D170" s="5" t="s">
        <v>268</v>
      </c>
      <c r="E170" s="25">
        <f>244-53.19531+20.56+12.77+41.23-1.83105-0.01035</f>
        <v>263.52329</v>
      </c>
      <c r="F170" s="25">
        <v>263.52329</v>
      </c>
      <c r="G170" s="41">
        <f t="shared" si="2"/>
        <v>100</v>
      </c>
    </row>
    <row r="171" spans="1:7" ht="105">
      <c r="A171" s="4" t="s">
        <v>390</v>
      </c>
      <c r="B171" s="5" t="s">
        <v>120</v>
      </c>
      <c r="C171" s="5" t="s">
        <v>309</v>
      </c>
      <c r="D171" s="5" t="s">
        <v>268</v>
      </c>
      <c r="E171" s="25">
        <f>24135+53.19531+2035.44+1264.23+4081.77+1.83105+0.01035</f>
        <v>31571.47671</v>
      </c>
      <c r="F171" s="25">
        <v>31571.47671</v>
      </c>
      <c r="G171" s="41">
        <f t="shared" si="2"/>
        <v>100</v>
      </c>
    </row>
    <row r="172" spans="1:7" ht="120">
      <c r="A172" s="4" t="s">
        <v>391</v>
      </c>
      <c r="B172" s="5" t="s">
        <v>121</v>
      </c>
      <c r="C172" s="5" t="s">
        <v>310</v>
      </c>
      <c r="D172" s="5" t="s">
        <v>262</v>
      </c>
      <c r="E172" s="25">
        <f>1200-86-184.19381-33.74201</f>
        <v>896.06418</v>
      </c>
      <c r="F172" s="25">
        <v>896.06418</v>
      </c>
      <c r="G172" s="41">
        <f t="shared" si="2"/>
        <v>100</v>
      </c>
    </row>
    <row r="173" spans="1:7" ht="108.75" customHeight="1">
      <c r="A173" s="14" t="s">
        <v>556</v>
      </c>
      <c r="B173" s="5" t="s">
        <v>555</v>
      </c>
      <c r="C173" s="5" t="s">
        <v>310</v>
      </c>
      <c r="D173" s="5" t="s">
        <v>553</v>
      </c>
      <c r="E173" s="25">
        <v>18</v>
      </c>
      <c r="F173" s="25">
        <v>18</v>
      </c>
      <c r="G173" s="41">
        <f t="shared" si="2"/>
        <v>100</v>
      </c>
    </row>
    <row r="174" spans="1:7" ht="108" customHeight="1">
      <c r="A174" s="14" t="s">
        <v>587</v>
      </c>
      <c r="B174" s="5" t="s">
        <v>585</v>
      </c>
      <c r="C174" s="5" t="s">
        <v>310</v>
      </c>
      <c r="D174" s="5" t="s">
        <v>262</v>
      </c>
      <c r="E174" s="25">
        <v>1024</v>
      </c>
      <c r="F174" s="25">
        <v>1024</v>
      </c>
      <c r="G174" s="41">
        <f t="shared" si="2"/>
        <v>100</v>
      </c>
    </row>
    <row r="175" spans="1:7" ht="30">
      <c r="A175" s="4" t="s">
        <v>392</v>
      </c>
      <c r="B175" s="5" t="s">
        <v>122</v>
      </c>
      <c r="C175" s="5" t="s">
        <v>272</v>
      </c>
      <c r="D175" s="5" t="s">
        <v>294</v>
      </c>
      <c r="E175" s="25">
        <f>SUM(E176:E193)</f>
        <v>434174.84193</v>
      </c>
      <c r="F175" s="25">
        <f>SUM(F176:F193)</f>
        <v>434037.22199</v>
      </c>
      <c r="G175" s="41">
        <f t="shared" si="2"/>
        <v>99.9683031058667</v>
      </c>
    </row>
    <row r="176" spans="1:7" ht="135">
      <c r="A176" s="10" t="s">
        <v>393</v>
      </c>
      <c r="B176" s="5" t="s">
        <v>123</v>
      </c>
      <c r="C176" s="5" t="s">
        <v>306</v>
      </c>
      <c r="D176" s="5" t="s">
        <v>263</v>
      </c>
      <c r="E176" s="25">
        <f>4299+2.0958-240.06957+64.9+3.622+262.9</f>
        <v>4392.44823</v>
      </c>
      <c r="F176" s="25">
        <v>4391.84475</v>
      </c>
      <c r="G176" s="41">
        <f t="shared" si="2"/>
        <v>99.98626096499265</v>
      </c>
    </row>
    <row r="177" spans="1:7" ht="90" customHeight="1">
      <c r="A177" s="10" t="s">
        <v>0</v>
      </c>
      <c r="B177" s="5" t="s">
        <v>123</v>
      </c>
      <c r="C177" s="5" t="s">
        <v>307</v>
      </c>
      <c r="D177" s="5" t="s">
        <v>263</v>
      </c>
      <c r="E177" s="25">
        <f>1128-300-2.0958-26.3953-271.15606-3.622+50</f>
        <v>574.73084</v>
      </c>
      <c r="F177" s="25">
        <v>574.73084</v>
      </c>
      <c r="G177" s="41">
        <f t="shared" si="2"/>
        <v>100</v>
      </c>
    </row>
    <row r="178" spans="1:7" ht="105">
      <c r="A178" s="10" t="s">
        <v>1</v>
      </c>
      <c r="B178" s="5" t="s">
        <v>123</v>
      </c>
      <c r="C178" s="5" t="s">
        <v>310</v>
      </c>
      <c r="D178" s="5" t="s">
        <v>263</v>
      </c>
      <c r="E178" s="25">
        <f>24041+99.9-100-182.8+339.1+400+1100</f>
        <v>25697.2</v>
      </c>
      <c r="F178" s="25">
        <v>25697.2</v>
      </c>
      <c r="G178" s="41">
        <f t="shared" si="2"/>
        <v>100</v>
      </c>
    </row>
    <row r="179" spans="1:7" ht="90">
      <c r="A179" s="10" t="s">
        <v>2</v>
      </c>
      <c r="B179" s="5" t="s">
        <v>123</v>
      </c>
      <c r="C179" s="5" t="s">
        <v>308</v>
      </c>
      <c r="D179" s="5" t="s">
        <v>263</v>
      </c>
      <c r="E179" s="25">
        <f>306+3.696</f>
        <v>309.696</v>
      </c>
      <c r="F179" s="25">
        <v>309.696</v>
      </c>
      <c r="G179" s="41">
        <f t="shared" si="2"/>
        <v>100</v>
      </c>
    </row>
    <row r="180" spans="1:7" ht="105">
      <c r="A180" s="10" t="s">
        <v>204</v>
      </c>
      <c r="B180" s="5" t="s">
        <v>124</v>
      </c>
      <c r="C180" s="5" t="s">
        <v>310</v>
      </c>
      <c r="D180" s="5" t="s">
        <v>263</v>
      </c>
      <c r="E180" s="25">
        <f>92071+429.4+2700+89.62-650-1974.78342+2437-1190+4920</f>
        <v>98832.23657999998</v>
      </c>
      <c r="F180" s="25">
        <v>98695.23658</v>
      </c>
      <c r="G180" s="41">
        <f t="shared" si="2"/>
        <v>99.86138126107356</v>
      </c>
    </row>
    <row r="181" spans="1:7" ht="210" hidden="1">
      <c r="A181" s="4" t="s">
        <v>205</v>
      </c>
      <c r="B181" s="5" t="s">
        <v>142</v>
      </c>
      <c r="C181" s="5" t="s">
        <v>306</v>
      </c>
      <c r="D181" s="5" t="s">
        <v>263</v>
      </c>
      <c r="E181" s="25"/>
      <c r="F181" s="25"/>
      <c r="G181" s="41" t="e">
        <f t="shared" si="2"/>
        <v>#DIV/0!</v>
      </c>
    </row>
    <row r="182" spans="1:7" ht="93" customHeight="1">
      <c r="A182" s="10" t="s">
        <v>593</v>
      </c>
      <c r="B182" s="5" t="s">
        <v>592</v>
      </c>
      <c r="C182" s="5" t="s">
        <v>309</v>
      </c>
      <c r="D182" s="5" t="s">
        <v>263</v>
      </c>
      <c r="E182" s="25">
        <v>750</v>
      </c>
      <c r="F182" s="25">
        <v>750</v>
      </c>
      <c r="G182" s="41">
        <f t="shared" si="2"/>
        <v>100</v>
      </c>
    </row>
    <row r="183" spans="1:7" ht="108.75" customHeight="1">
      <c r="A183" s="14" t="s">
        <v>558</v>
      </c>
      <c r="B183" s="5" t="s">
        <v>557</v>
      </c>
      <c r="C183" s="5" t="s">
        <v>310</v>
      </c>
      <c r="D183" s="5" t="s">
        <v>553</v>
      </c>
      <c r="E183" s="25">
        <v>206.1</v>
      </c>
      <c r="F183" s="25">
        <v>206.1</v>
      </c>
      <c r="G183" s="41">
        <f t="shared" si="2"/>
        <v>100</v>
      </c>
    </row>
    <row r="184" spans="1:7" ht="123.75" customHeight="1">
      <c r="A184" s="10" t="s">
        <v>524</v>
      </c>
      <c r="B184" s="5" t="s">
        <v>523</v>
      </c>
      <c r="C184" s="5" t="s">
        <v>310</v>
      </c>
      <c r="D184" s="5" t="s">
        <v>263</v>
      </c>
      <c r="E184" s="25">
        <v>481.4</v>
      </c>
      <c r="F184" s="25">
        <v>481.4</v>
      </c>
      <c r="G184" s="41">
        <f t="shared" si="2"/>
        <v>100</v>
      </c>
    </row>
    <row r="185" spans="1:7" ht="108.75" customHeight="1">
      <c r="A185" s="10" t="s">
        <v>600</v>
      </c>
      <c r="B185" s="5" t="s">
        <v>599</v>
      </c>
      <c r="C185" s="5" t="s">
        <v>310</v>
      </c>
      <c r="D185" s="5" t="s">
        <v>263</v>
      </c>
      <c r="E185" s="25">
        <v>1190</v>
      </c>
      <c r="F185" s="25">
        <v>1190</v>
      </c>
      <c r="G185" s="41">
        <f t="shared" si="2"/>
        <v>100</v>
      </c>
    </row>
    <row r="186" spans="1:7" ht="180">
      <c r="A186" s="4" t="s">
        <v>378</v>
      </c>
      <c r="B186" s="5" t="s">
        <v>142</v>
      </c>
      <c r="C186" s="5" t="s">
        <v>310</v>
      </c>
      <c r="D186" s="5" t="s">
        <v>263</v>
      </c>
      <c r="E186" s="25">
        <f>1126.7-55.384</f>
        <v>1071.316</v>
      </c>
      <c r="F186" s="25">
        <v>1071.316</v>
      </c>
      <c r="G186" s="41">
        <f t="shared" si="2"/>
        <v>100</v>
      </c>
    </row>
    <row r="187" spans="1:7" ht="180">
      <c r="A187" s="4" t="s">
        <v>206</v>
      </c>
      <c r="B187" s="5" t="s">
        <v>125</v>
      </c>
      <c r="C187" s="5" t="s">
        <v>310</v>
      </c>
      <c r="D187" s="5" t="s">
        <v>263</v>
      </c>
      <c r="E187" s="25">
        <f>286240.5+11093.7</f>
        <v>297334.2</v>
      </c>
      <c r="F187" s="25">
        <v>297334.2</v>
      </c>
      <c r="G187" s="41">
        <f t="shared" si="2"/>
        <v>100</v>
      </c>
    </row>
    <row r="188" spans="1:7" ht="120">
      <c r="A188" s="4" t="s">
        <v>207</v>
      </c>
      <c r="B188" s="5" t="s">
        <v>126</v>
      </c>
      <c r="C188" s="5" t="s">
        <v>310</v>
      </c>
      <c r="D188" s="5" t="s">
        <v>263</v>
      </c>
      <c r="E188" s="25">
        <f>1000-139+6.91428</f>
        <v>867.91428</v>
      </c>
      <c r="F188" s="25">
        <v>867.91428</v>
      </c>
      <c r="G188" s="41">
        <f t="shared" si="2"/>
        <v>100</v>
      </c>
    </row>
    <row r="189" spans="1:7" ht="124.5" customHeight="1">
      <c r="A189" s="14" t="s">
        <v>560</v>
      </c>
      <c r="B189" s="5" t="s">
        <v>559</v>
      </c>
      <c r="C189" s="5" t="s">
        <v>310</v>
      </c>
      <c r="D189" s="5" t="s">
        <v>553</v>
      </c>
      <c r="E189" s="25">
        <v>10.8</v>
      </c>
      <c r="F189" s="25">
        <v>10.8</v>
      </c>
      <c r="G189" s="41">
        <f t="shared" si="2"/>
        <v>100</v>
      </c>
    </row>
    <row r="190" spans="1:7" ht="90.75" customHeight="1">
      <c r="A190" s="10" t="s">
        <v>589</v>
      </c>
      <c r="B190" s="5" t="s">
        <v>582</v>
      </c>
      <c r="C190" s="5" t="s">
        <v>309</v>
      </c>
      <c r="D190" s="5" t="s">
        <v>263</v>
      </c>
      <c r="E190" s="25">
        <v>50</v>
      </c>
      <c r="F190" s="25">
        <v>50</v>
      </c>
      <c r="G190" s="41">
        <f t="shared" si="2"/>
        <v>100</v>
      </c>
    </row>
    <row r="191" spans="1:7" ht="107.25" customHeight="1" hidden="1">
      <c r="A191" s="10" t="s">
        <v>583</v>
      </c>
      <c r="B191" s="5" t="s">
        <v>582</v>
      </c>
      <c r="C191" s="5" t="s">
        <v>310</v>
      </c>
      <c r="D191" s="5" t="s">
        <v>263</v>
      </c>
      <c r="E191" s="25">
        <f>50-50</f>
        <v>0</v>
      </c>
      <c r="F191" s="25"/>
      <c r="G191" s="41" t="e">
        <f t="shared" si="2"/>
        <v>#DIV/0!</v>
      </c>
    </row>
    <row r="192" spans="1:7" ht="135">
      <c r="A192" s="4" t="s">
        <v>50</v>
      </c>
      <c r="B192" s="5" t="s">
        <v>51</v>
      </c>
      <c r="C192" s="5" t="s">
        <v>310</v>
      </c>
      <c r="D192" s="5" t="s">
        <v>263</v>
      </c>
      <c r="E192" s="25">
        <v>2200.5</v>
      </c>
      <c r="F192" s="25">
        <v>2200.48354</v>
      </c>
      <c r="G192" s="41">
        <f t="shared" si="2"/>
        <v>99.99925198818451</v>
      </c>
    </row>
    <row r="193" spans="1:7" ht="135" customHeight="1">
      <c r="A193" s="10" t="s">
        <v>526</v>
      </c>
      <c r="B193" s="5" t="s">
        <v>525</v>
      </c>
      <c r="C193" s="5" t="s">
        <v>310</v>
      </c>
      <c r="D193" s="5" t="s">
        <v>263</v>
      </c>
      <c r="E193" s="25">
        <v>206.3</v>
      </c>
      <c r="F193" s="25">
        <v>206.3</v>
      </c>
      <c r="G193" s="41">
        <f t="shared" si="2"/>
        <v>100</v>
      </c>
    </row>
    <row r="194" spans="1:7" ht="15">
      <c r="A194" s="4" t="s">
        <v>208</v>
      </c>
      <c r="B194" s="5" t="s">
        <v>139</v>
      </c>
      <c r="C194" s="5" t="s">
        <v>272</v>
      </c>
      <c r="D194" s="5" t="s">
        <v>272</v>
      </c>
      <c r="E194" s="25">
        <f>SUM(E195:E200)</f>
        <v>2733.7000000000003</v>
      </c>
      <c r="F194" s="25">
        <f>SUM(F195:F200)</f>
        <v>2733.7000000000003</v>
      </c>
      <c r="G194" s="41">
        <f t="shared" si="2"/>
        <v>100</v>
      </c>
    </row>
    <row r="195" spans="1:7" s="36" customFormat="1" ht="90">
      <c r="A195" s="10" t="s">
        <v>17</v>
      </c>
      <c r="B195" s="9" t="s">
        <v>16</v>
      </c>
      <c r="C195" s="9" t="s">
        <v>310</v>
      </c>
      <c r="D195" s="9" t="s">
        <v>263</v>
      </c>
      <c r="E195" s="27">
        <f>666-529.3</f>
        <v>136.70000000000005</v>
      </c>
      <c r="F195" s="27">
        <v>136.7</v>
      </c>
      <c r="G195" s="41">
        <f t="shared" si="2"/>
        <v>99.99999999999996</v>
      </c>
    </row>
    <row r="196" spans="1:7" ht="42.75" hidden="1">
      <c r="A196" s="6" t="s">
        <v>323</v>
      </c>
      <c r="B196" s="7" t="s">
        <v>134</v>
      </c>
      <c r="C196" s="7" t="s">
        <v>272</v>
      </c>
      <c r="D196" s="7" t="s">
        <v>294</v>
      </c>
      <c r="E196" s="26">
        <f>SUM(E197:E198)</f>
        <v>0</v>
      </c>
      <c r="F196" s="26"/>
      <c r="G196" s="41" t="e">
        <f t="shared" si="2"/>
        <v>#DIV/0!</v>
      </c>
    </row>
    <row r="197" spans="1:7" ht="90" hidden="1">
      <c r="A197" s="4" t="s">
        <v>324</v>
      </c>
      <c r="B197" s="5" t="s">
        <v>135</v>
      </c>
      <c r="C197" s="5" t="s">
        <v>70</v>
      </c>
      <c r="D197" s="5" t="s">
        <v>261</v>
      </c>
      <c r="E197" s="25"/>
      <c r="F197" s="25"/>
      <c r="G197" s="41" t="e">
        <f t="shared" si="2"/>
        <v>#DIV/0!</v>
      </c>
    </row>
    <row r="198" spans="1:7" ht="90" hidden="1">
      <c r="A198" s="4" t="s">
        <v>325</v>
      </c>
      <c r="B198" s="5" t="s">
        <v>136</v>
      </c>
      <c r="C198" s="5" t="s">
        <v>70</v>
      </c>
      <c r="D198" s="5" t="s">
        <v>261</v>
      </c>
      <c r="E198" s="25"/>
      <c r="F198" s="25"/>
      <c r="G198" s="41" t="e">
        <f t="shared" si="2"/>
        <v>#DIV/0!</v>
      </c>
    </row>
    <row r="199" spans="1:7" ht="168.75" customHeight="1">
      <c r="A199" s="10" t="s">
        <v>528</v>
      </c>
      <c r="B199" s="5" t="s">
        <v>527</v>
      </c>
      <c r="C199" s="5" t="s">
        <v>310</v>
      </c>
      <c r="D199" s="5" t="s">
        <v>263</v>
      </c>
      <c r="E199" s="25">
        <v>1630.4</v>
      </c>
      <c r="F199" s="25">
        <v>1630.4</v>
      </c>
      <c r="G199" s="41">
        <f t="shared" si="2"/>
        <v>100</v>
      </c>
    </row>
    <row r="200" spans="1:7" ht="168" customHeight="1">
      <c r="A200" s="10" t="s">
        <v>530</v>
      </c>
      <c r="B200" s="5" t="s">
        <v>529</v>
      </c>
      <c r="C200" s="5" t="s">
        <v>310</v>
      </c>
      <c r="D200" s="5" t="s">
        <v>263</v>
      </c>
      <c r="E200" s="25">
        <v>966.6</v>
      </c>
      <c r="F200" s="25">
        <v>966.6</v>
      </c>
      <c r="G200" s="41">
        <f t="shared" si="2"/>
        <v>100</v>
      </c>
    </row>
    <row r="201" spans="1:7" ht="45.75" customHeight="1">
      <c r="A201" s="19" t="s">
        <v>534</v>
      </c>
      <c r="B201" s="7" t="s">
        <v>134</v>
      </c>
      <c r="C201" s="7" t="s">
        <v>272</v>
      </c>
      <c r="D201" s="7" t="s">
        <v>294</v>
      </c>
      <c r="E201" s="26">
        <f>E202+E203</f>
        <v>17430.8</v>
      </c>
      <c r="F201" s="26">
        <f>F202+F203</f>
        <v>17430.8</v>
      </c>
      <c r="G201" s="40">
        <f t="shared" si="2"/>
        <v>100</v>
      </c>
    </row>
    <row r="202" spans="1:7" ht="74.25" customHeight="1">
      <c r="A202" s="10" t="s">
        <v>535</v>
      </c>
      <c r="B202" s="5" t="s">
        <v>536</v>
      </c>
      <c r="C202" s="5" t="s">
        <v>307</v>
      </c>
      <c r="D202" s="5" t="s">
        <v>261</v>
      </c>
      <c r="E202" s="25">
        <v>4357.7</v>
      </c>
      <c r="F202" s="25">
        <v>4357.7</v>
      </c>
      <c r="G202" s="41">
        <f t="shared" si="2"/>
        <v>100</v>
      </c>
    </row>
    <row r="203" spans="1:7" ht="92.25" customHeight="1">
      <c r="A203" s="10" t="s">
        <v>568</v>
      </c>
      <c r="B203" s="5" t="s">
        <v>567</v>
      </c>
      <c r="C203" s="5" t="s">
        <v>307</v>
      </c>
      <c r="D203" s="5" t="s">
        <v>261</v>
      </c>
      <c r="E203" s="25">
        <v>13073.1</v>
      </c>
      <c r="F203" s="25">
        <v>13073.1</v>
      </c>
      <c r="G203" s="41">
        <f aca="true" t="shared" si="3" ref="G203:G266">F203/E203*100</f>
        <v>100</v>
      </c>
    </row>
    <row r="204" spans="1:7" ht="28.5">
      <c r="A204" s="6" t="s">
        <v>18</v>
      </c>
      <c r="B204" s="7" t="s">
        <v>140</v>
      </c>
      <c r="C204" s="7" t="s">
        <v>272</v>
      </c>
      <c r="D204" s="7" t="s">
        <v>294</v>
      </c>
      <c r="E204" s="26">
        <f>SUM(E205:E219,E221,E224,E227,E229)</f>
        <v>97985.79011</v>
      </c>
      <c r="F204" s="26">
        <f>SUM(F205:F219,F221,F224,F227,F229)</f>
        <v>89153.46685</v>
      </c>
      <c r="G204" s="40">
        <f t="shared" si="3"/>
        <v>90.98611824216069</v>
      </c>
    </row>
    <row r="205" spans="1:7" ht="120">
      <c r="A205" s="10" t="s">
        <v>19</v>
      </c>
      <c r="B205" s="5" t="s">
        <v>20</v>
      </c>
      <c r="C205" s="5" t="s">
        <v>306</v>
      </c>
      <c r="D205" s="5" t="s">
        <v>279</v>
      </c>
      <c r="E205" s="25">
        <f>6579.8-87.143-0.816-30.322-103.772</f>
        <v>6357.747</v>
      </c>
      <c r="F205" s="25">
        <v>5542.23195</v>
      </c>
      <c r="G205" s="41">
        <f t="shared" si="3"/>
        <v>87.17289237838499</v>
      </c>
    </row>
    <row r="206" spans="1:7" ht="105" hidden="1">
      <c r="A206" s="10" t="s">
        <v>21</v>
      </c>
      <c r="B206" s="5" t="s">
        <v>22</v>
      </c>
      <c r="C206" s="5" t="s">
        <v>306</v>
      </c>
      <c r="D206" s="5" t="s">
        <v>279</v>
      </c>
      <c r="E206" s="25"/>
      <c r="F206" s="25"/>
      <c r="G206" s="41" t="e">
        <f t="shared" si="3"/>
        <v>#DIV/0!</v>
      </c>
    </row>
    <row r="207" spans="1:7" ht="106.5" customHeight="1">
      <c r="A207" s="10" t="s">
        <v>52</v>
      </c>
      <c r="B207" s="5" t="s">
        <v>22</v>
      </c>
      <c r="C207" s="5" t="s">
        <v>306</v>
      </c>
      <c r="D207" s="5" t="s">
        <v>279</v>
      </c>
      <c r="E207" s="25">
        <v>2.835</v>
      </c>
      <c r="F207" s="25">
        <v>2.835</v>
      </c>
      <c r="G207" s="41">
        <f t="shared" si="3"/>
        <v>100</v>
      </c>
    </row>
    <row r="208" spans="1:7" ht="75">
      <c r="A208" s="10" t="s">
        <v>23</v>
      </c>
      <c r="B208" s="5" t="s">
        <v>22</v>
      </c>
      <c r="C208" s="5" t="s">
        <v>307</v>
      </c>
      <c r="D208" s="5" t="s">
        <v>279</v>
      </c>
      <c r="E208" s="25">
        <f>30.2-2.835-0.7+0.816+30.322</f>
        <v>57.803</v>
      </c>
      <c r="F208" s="25">
        <v>57.80099</v>
      </c>
      <c r="G208" s="41">
        <f t="shared" si="3"/>
        <v>99.99652267183365</v>
      </c>
    </row>
    <row r="209" spans="1:7" ht="65.25" customHeight="1">
      <c r="A209" s="10" t="s">
        <v>596</v>
      </c>
      <c r="B209" s="5" t="s">
        <v>22</v>
      </c>
      <c r="C209" s="5" t="s">
        <v>308</v>
      </c>
      <c r="D209" s="5" t="s">
        <v>279</v>
      </c>
      <c r="E209" s="25">
        <v>0.7</v>
      </c>
      <c r="F209" s="25">
        <v>0.7</v>
      </c>
      <c r="G209" s="41">
        <f t="shared" si="3"/>
        <v>100</v>
      </c>
    </row>
    <row r="210" spans="1:7" ht="120">
      <c r="A210" s="10" t="s">
        <v>379</v>
      </c>
      <c r="B210" s="5" t="s">
        <v>25</v>
      </c>
      <c r="C210" s="5" t="s">
        <v>306</v>
      </c>
      <c r="D210" s="5" t="s">
        <v>279</v>
      </c>
      <c r="E210" s="25">
        <f>6015.3-4-2-2+380.3-4+103.772</f>
        <v>6487.372</v>
      </c>
      <c r="F210" s="25">
        <v>6487.37078</v>
      </c>
      <c r="G210" s="41">
        <f t="shared" si="3"/>
        <v>99.99998119423397</v>
      </c>
    </row>
    <row r="211" spans="1:7" ht="75">
      <c r="A211" s="10" t="s">
        <v>24</v>
      </c>
      <c r="B211" s="5" t="s">
        <v>25</v>
      </c>
      <c r="C211" s="5" t="s">
        <v>307</v>
      </c>
      <c r="D211" s="5" t="s">
        <v>279</v>
      </c>
      <c r="E211" s="25">
        <f>611.82-39.117-0.055+87.35-3.2+40.5+4</f>
        <v>701.2980000000001</v>
      </c>
      <c r="F211" s="25">
        <v>683.7306</v>
      </c>
      <c r="G211" s="41">
        <f t="shared" si="3"/>
        <v>97.49501638390525</v>
      </c>
    </row>
    <row r="212" spans="1:7" ht="60">
      <c r="A212" s="10" t="s">
        <v>380</v>
      </c>
      <c r="B212" s="5" t="s">
        <v>25</v>
      </c>
      <c r="C212" s="5" t="s">
        <v>308</v>
      </c>
      <c r="D212" s="5" t="s">
        <v>279</v>
      </c>
      <c r="E212" s="25">
        <f>79.1+43.117+0.055+2+5+5.2</f>
        <v>134.47199999999998</v>
      </c>
      <c r="F212" s="25">
        <v>133.29513</v>
      </c>
      <c r="G212" s="41">
        <f t="shared" si="3"/>
        <v>99.12482152418349</v>
      </c>
    </row>
    <row r="213" spans="1:7" ht="75" customHeight="1" hidden="1">
      <c r="A213" s="1" t="s">
        <v>532</v>
      </c>
      <c r="B213" s="5" t="s">
        <v>531</v>
      </c>
      <c r="C213" s="5" t="s">
        <v>70</v>
      </c>
      <c r="D213" s="5" t="s">
        <v>278</v>
      </c>
      <c r="E213" s="25">
        <f>2262-2262</f>
        <v>0</v>
      </c>
      <c r="F213" s="25"/>
      <c r="G213" s="41" t="e">
        <f t="shared" si="3"/>
        <v>#DIV/0!</v>
      </c>
    </row>
    <row r="214" spans="1:7" ht="87.75" customHeight="1" hidden="1">
      <c r="A214" s="1" t="s">
        <v>533</v>
      </c>
      <c r="B214" s="5" t="s">
        <v>531</v>
      </c>
      <c r="C214" s="5" t="s">
        <v>310</v>
      </c>
      <c r="D214" s="5" t="s">
        <v>278</v>
      </c>
      <c r="E214" s="25">
        <f>13150-9738-3412</f>
        <v>0</v>
      </c>
      <c r="F214" s="25"/>
      <c r="G214" s="41" t="e">
        <f t="shared" si="3"/>
        <v>#DIV/0!</v>
      </c>
    </row>
    <row r="215" spans="1:7" ht="105">
      <c r="A215" s="10" t="s">
        <v>26</v>
      </c>
      <c r="B215" s="5" t="s">
        <v>28</v>
      </c>
      <c r="C215" s="5" t="s">
        <v>306</v>
      </c>
      <c r="D215" s="5" t="s">
        <v>279</v>
      </c>
      <c r="E215" s="25">
        <f>2405.9-14+0.302-2.739</f>
        <v>2389.463</v>
      </c>
      <c r="F215" s="25">
        <v>2320.34141</v>
      </c>
      <c r="G215" s="41">
        <f t="shared" si="3"/>
        <v>97.10723329886254</v>
      </c>
    </row>
    <row r="216" spans="1:7" ht="75">
      <c r="A216" s="10" t="s">
        <v>27</v>
      </c>
      <c r="B216" s="5" t="s">
        <v>28</v>
      </c>
      <c r="C216" s="5" t="s">
        <v>307</v>
      </c>
      <c r="D216" s="5" t="s">
        <v>279</v>
      </c>
      <c r="E216" s="25">
        <f>454.35+14-0.302+2.739</f>
        <v>470.787</v>
      </c>
      <c r="F216" s="25">
        <v>470.34614</v>
      </c>
      <c r="G216" s="41">
        <f t="shared" si="3"/>
        <v>99.90635680254553</v>
      </c>
    </row>
    <row r="217" spans="1:7" ht="48" customHeight="1">
      <c r="A217" s="10" t="s">
        <v>41</v>
      </c>
      <c r="B217" s="5" t="s">
        <v>40</v>
      </c>
      <c r="C217" s="5" t="s">
        <v>308</v>
      </c>
      <c r="D217" s="5" t="s">
        <v>289</v>
      </c>
      <c r="E217" s="25">
        <f>13.291+118.835+87.415+10+41.101</f>
        <v>270.642</v>
      </c>
      <c r="F217" s="25">
        <v>270.64108</v>
      </c>
      <c r="G217" s="41">
        <f t="shared" si="3"/>
        <v>99.99966006754309</v>
      </c>
    </row>
    <row r="218" spans="1:7" ht="60">
      <c r="A218" s="10" t="s">
        <v>214</v>
      </c>
      <c r="B218" s="5" t="s">
        <v>213</v>
      </c>
      <c r="C218" s="5" t="s">
        <v>308</v>
      </c>
      <c r="D218" s="5" t="s">
        <v>289</v>
      </c>
      <c r="E218" s="25">
        <f>299.2-13.291+157.809+191.009</f>
        <v>634.727</v>
      </c>
      <c r="F218" s="25">
        <v>634.727</v>
      </c>
      <c r="G218" s="41">
        <f t="shared" si="3"/>
        <v>100</v>
      </c>
    </row>
    <row r="219" spans="1:7" ht="33" customHeight="1">
      <c r="A219" s="10" t="s">
        <v>29</v>
      </c>
      <c r="B219" s="5" t="s">
        <v>30</v>
      </c>
      <c r="C219" s="5" t="s">
        <v>272</v>
      </c>
      <c r="D219" s="5" t="s">
        <v>294</v>
      </c>
      <c r="E219" s="25">
        <f>E220</f>
        <v>17221.0095</v>
      </c>
      <c r="F219" s="25">
        <f>F220</f>
        <v>15305.1661</v>
      </c>
      <c r="G219" s="41">
        <f t="shared" si="3"/>
        <v>88.87496461807307</v>
      </c>
    </row>
    <row r="220" spans="1:7" ht="90">
      <c r="A220" s="10" t="s">
        <v>381</v>
      </c>
      <c r="B220" s="5" t="s">
        <v>31</v>
      </c>
      <c r="C220" s="5" t="s">
        <v>307</v>
      </c>
      <c r="D220" s="5" t="s">
        <v>278</v>
      </c>
      <c r="E220" s="25">
        <f>15400-141.9905+1963</f>
        <v>17221.0095</v>
      </c>
      <c r="F220" s="25">
        <v>15305.1661</v>
      </c>
      <c r="G220" s="41">
        <f t="shared" si="3"/>
        <v>88.87496461807307</v>
      </c>
    </row>
    <row r="221" spans="1:7" ht="45">
      <c r="A221" s="10" t="s">
        <v>68</v>
      </c>
      <c r="B221" s="5" t="s">
        <v>69</v>
      </c>
      <c r="C221" s="5" t="s">
        <v>272</v>
      </c>
      <c r="D221" s="5" t="s">
        <v>294</v>
      </c>
      <c r="E221" s="25">
        <f>E223+E222</f>
        <v>1707.93813</v>
      </c>
      <c r="F221" s="25">
        <f>F223+F222</f>
        <v>1686.19928</v>
      </c>
      <c r="G221" s="41">
        <f t="shared" si="3"/>
        <v>98.72718750063856</v>
      </c>
    </row>
    <row r="222" spans="1:7" ht="105">
      <c r="A222" s="10" t="s">
        <v>462</v>
      </c>
      <c r="B222" s="5" t="s">
        <v>461</v>
      </c>
      <c r="C222" s="5" t="s">
        <v>307</v>
      </c>
      <c r="D222" s="5" t="s">
        <v>278</v>
      </c>
      <c r="E222" s="25">
        <f>550-0.009</f>
        <v>549.991</v>
      </c>
      <c r="F222" s="25">
        <v>528.25215</v>
      </c>
      <c r="G222" s="41">
        <f t="shared" si="3"/>
        <v>96.0474171395532</v>
      </c>
    </row>
    <row r="223" spans="1:7" ht="135">
      <c r="A223" s="10" t="s">
        <v>480</v>
      </c>
      <c r="B223" s="5" t="s">
        <v>481</v>
      </c>
      <c r="C223" s="5" t="s">
        <v>310</v>
      </c>
      <c r="D223" s="5" t="s">
        <v>280</v>
      </c>
      <c r="E223" s="25">
        <f>1020+137.94713</f>
        <v>1157.94713</v>
      </c>
      <c r="F223" s="25">
        <v>1157.94713</v>
      </c>
      <c r="G223" s="41">
        <f t="shared" si="3"/>
        <v>100</v>
      </c>
    </row>
    <row r="224" spans="1:7" ht="33" customHeight="1">
      <c r="A224" s="10" t="s">
        <v>482</v>
      </c>
      <c r="B224" s="5" t="s">
        <v>483</v>
      </c>
      <c r="C224" s="5" t="s">
        <v>272</v>
      </c>
      <c r="D224" s="5" t="s">
        <v>294</v>
      </c>
      <c r="E224" s="25">
        <f>E226+E225</f>
        <v>1827.59</v>
      </c>
      <c r="F224" s="25">
        <f>F226+F225</f>
        <v>1827.59</v>
      </c>
      <c r="G224" s="41">
        <f t="shared" si="3"/>
        <v>100</v>
      </c>
    </row>
    <row r="225" spans="1:7" ht="94.5" customHeight="1">
      <c r="A225" s="10" t="s">
        <v>445</v>
      </c>
      <c r="B225" s="5" t="s">
        <v>463</v>
      </c>
      <c r="C225" s="5" t="s">
        <v>307</v>
      </c>
      <c r="D225" s="5" t="s">
        <v>278</v>
      </c>
      <c r="E225" s="25">
        <v>230</v>
      </c>
      <c r="F225" s="25">
        <v>230</v>
      </c>
      <c r="G225" s="41">
        <f t="shared" si="3"/>
        <v>100</v>
      </c>
    </row>
    <row r="226" spans="1:7" ht="120">
      <c r="A226" s="10" t="s">
        <v>446</v>
      </c>
      <c r="B226" s="5" t="s">
        <v>484</v>
      </c>
      <c r="C226" s="5" t="s">
        <v>310</v>
      </c>
      <c r="D226" s="5" t="s">
        <v>278</v>
      </c>
      <c r="E226" s="25">
        <f>1494.298+103.292</f>
        <v>1597.59</v>
      </c>
      <c r="F226" s="25">
        <v>1597.59</v>
      </c>
      <c r="G226" s="41">
        <f t="shared" si="3"/>
        <v>100</v>
      </c>
    </row>
    <row r="227" spans="1:7" ht="30">
      <c r="A227" s="10" t="s">
        <v>485</v>
      </c>
      <c r="B227" s="5" t="s">
        <v>486</v>
      </c>
      <c r="C227" s="5" t="s">
        <v>272</v>
      </c>
      <c r="D227" s="5" t="s">
        <v>294</v>
      </c>
      <c r="E227" s="25">
        <f>E228</f>
        <v>20247.44704</v>
      </c>
      <c r="F227" s="25">
        <f>F228</f>
        <v>20247.44704</v>
      </c>
      <c r="G227" s="41">
        <f t="shared" si="3"/>
        <v>100</v>
      </c>
    </row>
    <row r="228" spans="1:7" ht="105">
      <c r="A228" s="10" t="s">
        <v>488</v>
      </c>
      <c r="B228" s="5" t="s">
        <v>487</v>
      </c>
      <c r="C228" s="5" t="s">
        <v>310</v>
      </c>
      <c r="D228" s="5" t="s">
        <v>278</v>
      </c>
      <c r="E228" s="25">
        <f>9913.098+5629.562+3160.40572+1544.38132</f>
        <v>20247.44704</v>
      </c>
      <c r="F228" s="25">
        <v>20247.44704</v>
      </c>
      <c r="G228" s="41">
        <f t="shared" si="3"/>
        <v>100</v>
      </c>
    </row>
    <row r="229" spans="1:7" ht="30">
      <c r="A229" s="10" t="s">
        <v>489</v>
      </c>
      <c r="B229" s="5" t="s">
        <v>490</v>
      </c>
      <c r="C229" s="5" t="s">
        <v>272</v>
      </c>
      <c r="D229" s="5" t="s">
        <v>294</v>
      </c>
      <c r="E229" s="25">
        <f>SUM(E230:E237)</f>
        <v>39473.95944</v>
      </c>
      <c r="F229" s="25">
        <f>SUM(F230:F237)</f>
        <v>33483.04435</v>
      </c>
      <c r="G229" s="41">
        <f t="shared" si="3"/>
        <v>84.82312092581914</v>
      </c>
    </row>
    <row r="230" spans="1:7" ht="104.25" customHeight="1">
      <c r="A230" s="1" t="s">
        <v>579</v>
      </c>
      <c r="B230" s="5" t="s">
        <v>578</v>
      </c>
      <c r="C230" s="5" t="s">
        <v>310</v>
      </c>
      <c r="D230" s="5" t="s">
        <v>278</v>
      </c>
      <c r="E230" s="25">
        <f>11510+3412-1359.5304-1740.9-380.3-3160.40572-1150.051</f>
        <v>7130.812880000001</v>
      </c>
      <c r="F230" s="25">
        <v>5929.014</v>
      </c>
      <c r="G230" s="41">
        <f t="shared" si="3"/>
        <v>83.14639718887139</v>
      </c>
    </row>
    <row r="231" spans="1:7" ht="91.5" customHeight="1">
      <c r="A231" s="10" t="s">
        <v>447</v>
      </c>
      <c r="B231" s="5" t="s">
        <v>469</v>
      </c>
      <c r="C231" s="5" t="s">
        <v>307</v>
      </c>
      <c r="D231" s="5" t="s">
        <v>278</v>
      </c>
      <c r="E231" s="25">
        <v>1900</v>
      </c>
      <c r="F231" s="25">
        <v>1806.37181</v>
      </c>
      <c r="G231" s="41">
        <f t="shared" si="3"/>
        <v>95.0722005263158</v>
      </c>
    </row>
    <row r="232" spans="1:7" ht="89.25" customHeight="1">
      <c r="A232" s="10" t="s">
        <v>448</v>
      </c>
      <c r="B232" s="5" t="s">
        <v>470</v>
      </c>
      <c r="C232" s="5" t="s">
        <v>307</v>
      </c>
      <c r="D232" s="5" t="s">
        <v>278</v>
      </c>
      <c r="E232" s="25">
        <f>726.916-118.835-87.415-70.666+2000+11040.9-10-49.0185-41.101-40.5-1481.084</f>
        <v>11869.196499999998</v>
      </c>
      <c r="F232" s="25">
        <v>8434.15865</v>
      </c>
      <c r="G232" s="41">
        <f t="shared" si="3"/>
        <v>71.05922165834899</v>
      </c>
    </row>
    <row r="233" spans="1:7" ht="104.25" customHeight="1">
      <c r="A233" s="10" t="s">
        <v>449</v>
      </c>
      <c r="B233" s="5" t="s">
        <v>470</v>
      </c>
      <c r="C233" s="5" t="s">
        <v>310</v>
      </c>
      <c r="D233" s="5" t="s">
        <v>278</v>
      </c>
      <c r="E233" s="25">
        <f>11448.604+1379.203+1119.943+10800-150-9300+802.80006</f>
        <v>16100.55006</v>
      </c>
      <c r="F233" s="25">
        <v>14840.09989</v>
      </c>
      <c r="G233" s="41">
        <f t="shared" si="3"/>
        <v>92.17138442287481</v>
      </c>
    </row>
    <row r="234" spans="1:7" ht="104.25" customHeight="1">
      <c r="A234" s="10" t="s">
        <v>449</v>
      </c>
      <c r="B234" s="5" t="s">
        <v>470</v>
      </c>
      <c r="C234" s="5" t="s">
        <v>310</v>
      </c>
      <c r="D234" s="5" t="s">
        <v>94</v>
      </c>
      <c r="E234" s="25">
        <v>150</v>
      </c>
      <c r="F234" s="25">
        <v>150</v>
      </c>
      <c r="G234" s="41">
        <f t="shared" si="3"/>
        <v>100</v>
      </c>
    </row>
    <row r="235" spans="1:7" ht="141.75" customHeight="1">
      <c r="A235" s="10" t="s">
        <v>574</v>
      </c>
      <c r="B235" s="5" t="s">
        <v>573</v>
      </c>
      <c r="C235" s="5" t="s">
        <v>310</v>
      </c>
      <c r="D235" s="5" t="s">
        <v>94</v>
      </c>
      <c r="E235" s="25">
        <v>233.4</v>
      </c>
      <c r="F235" s="25">
        <v>233.4</v>
      </c>
      <c r="G235" s="41">
        <f t="shared" si="3"/>
        <v>100</v>
      </c>
    </row>
    <row r="236" spans="1:7" ht="106.5" customHeight="1">
      <c r="A236" s="1" t="s">
        <v>584</v>
      </c>
      <c r="B236" s="5" t="s">
        <v>580</v>
      </c>
      <c r="C236" s="5" t="s">
        <v>307</v>
      </c>
      <c r="D236" s="5" t="s">
        <v>278</v>
      </c>
      <c r="E236" s="25">
        <v>2090</v>
      </c>
      <c r="F236" s="25">
        <v>2090</v>
      </c>
      <c r="G236" s="41">
        <f t="shared" si="3"/>
        <v>100</v>
      </c>
    </row>
    <row r="237" spans="1:7" ht="123.75" customHeight="1" hidden="1">
      <c r="A237" s="1" t="s">
        <v>581</v>
      </c>
      <c r="B237" s="5" t="s">
        <v>580</v>
      </c>
      <c r="C237" s="5" t="s">
        <v>310</v>
      </c>
      <c r="D237" s="5" t="s">
        <v>278</v>
      </c>
      <c r="E237" s="25">
        <f>2090-2090</f>
        <v>0</v>
      </c>
      <c r="F237" s="25">
        <f>2090-2090</f>
        <v>0</v>
      </c>
      <c r="G237" s="41" t="e">
        <f t="shared" si="3"/>
        <v>#DIV/0!</v>
      </c>
    </row>
    <row r="238" spans="1:7" ht="28.5">
      <c r="A238" s="6" t="s">
        <v>326</v>
      </c>
      <c r="B238" s="7" t="s">
        <v>151</v>
      </c>
      <c r="C238" s="7" t="s">
        <v>272</v>
      </c>
      <c r="D238" s="7" t="s">
        <v>294</v>
      </c>
      <c r="E238" s="26">
        <f>E239+E240+E241</f>
        <v>42478.3</v>
      </c>
      <c r="F238" s="26">
        <f>F239+F240+F241</f>
        <v>42172.395300000004</v>
      </c>
      <c r="G238" s="40">
        <f t="shared" si="3"/>
        <v>99.27985653851496</v>
      </c>
    </row>
    <row r="239" spans="1:7" ht="60">
      <c r="A239" s="4" t="s">
        <v>327</v>
      </c>
      <c r="B239" s="5" t="s">
        <v>152</v>
      </c>
      <c r="C239" s="5" t="s">
        <v>70</v>
      </c>
      <c r="D239" s="5" t="s">
        <v>260</v>
      </c>
      <c r="E239" s="25">
        <f>15000-8447.647-180.603</f>
        <v>6371.749999999999</v>
      </c>
      <c r="F239" s="25">
        <v>6325.8643</v>
      </c>
      <c r="G239" s="41">
        <f t="shared" si="3"/>
        <v>99.27985718209284</v>
      </c>
    </row>
    <row r="240" spans="1:7" ht="60" hidden="1">
      <c r="A240" s="8" t="s">
        <v>328</v>
      </c>
      <c r="B240" s="5" t="s">
        <v>156</v>
      </c>
      <c r="C240" s="5" t="s">
        <v>70</v>
      </c>
      <c r="D240" s="5" t="s">
        <v>260</v>
      </c>
      <c r="E240" s="25"/>
      <c r="F240" s="25"/>
      <c r="G240" s="41" t="e">
        <f t="shared" si="3"/>
        <v>#DIV/0!</v>
      </c>
    </row>
    <row r="241" spans="1:7" ht="65.25" customHeight="1">
      <c r="A241" s="8" t="s">
        <v>328</v>
      </c>
      <c r="B241" s="5" t="s">
        <v>156</v>
      </c>
      <c r="C241" s="5" t="s">
        <v>70</v>
      </c>
      <c r="D241" s="5" t="s">
        <v>260</v>
      </c>
      <c r="E241" s="25">
        <f>37130-1023.45</f>
        <v>36106.55</v>
      </c>
      <c r="F241" s="25">
        <v>35846.531</v>
      </c>
      <c r="G241" s="41">
        <f t="shared" si="3"/>
        <v>99.2798564249423</v>
      </c>
    </row>
    <row r="242" spans="1:7" ht="28.5">
      <c r="A242" s="6" t="s">
        <v>471</v>
      </c>
      <c r="B242" s="7" t="s">
        <v>155</v>
      </c>
      <c r="C242" s="7" t="s">
        <v>272</v>
      </c>
      <c r="D242" s="7" t="s">
        <v>294</v>
      </c>
      <c r="E242" s="26">
        <f>E243+E258</f>
        <v>92766.06799999998</v>
      </c>
      <c r="F242" s="26">
        <f>F243+F258</f>
        <v>92428.91194999998</v>
      </c>
      <c r="G242" s="40">
        <f t="shared" si="3"/>
        <v>99.63655239758572</v>
      </c>
    </row>
    <row r="243" spans="1:7" ht="30">
      <c r="A243" s="10" t="s">
        <v>472</v>
      </c>
      <c r="B243" s="5" t="s">
        <v>473</v>
      </c>
      <c r="C243" s="5" t="s">
        <v>272</v>
      </c>
      <c r="D243" s="5" t="s">
        <v>294</v>
      </c>
      <c r="E243" s="25">
        <f>SUM(E244:E257)</f>
        <v>90066.06799999998</v>
      </c>
      <c r="F243" s="25">
        <f>SUM(F244:F257)</f>
        <v>89733.84641999999</v>
      </c>
      <c r="G243" s="41">
        <f t="shared" si="3"/>
        <v>99.63113569030237</v>
      </c>
    </row>
    <row r="244" spans="1:7" ht="150">
      <c r="A244" s="10" t="s">
        <v>60</v>
      </c>
      <c r="B244" s="5" t="s">
        <v>474</v>
      </c>
      <c r="C244" s="5" t="s">
        <v>306</v>
      </c>
      <c r="D244" s="5" t="s">
        <v>286</v>
      </c>
      <c r="E244" s="25">
        <f>2057.9+5.4</f>
        <v>2063.3</v>
      </c>
      <c r="F244" s="25">
        <v>2063.29523</v>
      </c>
      <c r="G244" s="41">
        <f t="shared" si="3"/>
        <v>99.99976881694373</v>
      </c>
    </row>
    <row r="245" spans="1:7" ht="105">
      <c r="A245" s="1" t="s">
        <v>61</v>
      </c>
      <c r="B245" s="9" t="s">
        <v>62</v>
      </c>
      <c r="C245" s="5" t="s">
        <v>307</v>
      </c>
      <c r="D245" s="5" t="s">
        <v>286</v>
      </c>
      <c r="E245" s="25">
        <f>25.9-5.4</f>
        <v>20.5</v>
      </c>
      <c r="F245" s="25">
        <v>20.5</v>
      </c>
      <c r="G245" s="41">
        <f t="shared" si="3"/>
        <v>100</v>
      </c>
    </row>
    <row r="246" spans="1:7" ht="105">
      <c r="A246" s="1" t="s">
        <v>64</v>
      </c>
      <c r="B246" s="9" t="s">
        <v>63</v>
      </c>
      <c r="C246" s="5" t="s">
        <v>310</v>
      </c>
      <c r="D246" s="5" t="s">
        <v>263</v>
      </c>
      <c r="E246" s="25">
        <v>2359</v>
      </c>
      <c r="F246" s="25">
        <v>2260.46723</v>
      </c>
      <c r="G246" s="41">
        <f t="shared" si="3"/>
        <v>95.82311275964392</v>
      </c>
    </row>
    <row r="247" spans="1:7" ht="105">
      <c r="A247" s="1" t="s">
        <v>64</v>
      </c>
      <c r="B247" s="9" t="s">
        <v>63</v>
      </c>
      <c r="C247" s="5" t="s">
        <v>310</v>
      </c>
      <c r="D247" s="5" t="s">
        <v>285</v>
      </c>
      <c r="E247" s="25">
        <v>702</v>
      </c>
      <c r="F247" s="25">
        <v>610.43065</v>
      </c>
      <c r="G247" s="41">
        <f t="shared" si="3"/>
        <v>86.95593304843305</v>
      </c>
    </row>
    <row r="248" spans="1:7" ht="103.5" customHeight="1">
      <c r="A248" s="1" t="s">
        <v>66</v>
      </c>
      <c r="B248" s="9" t="s">
        <v>65</v>
      </c>
      <c r="C248" s="5" t="s">
        <v>310</v>
      </c>
      <c r="D248" s="5" t="s">
        <v>263</v>
      </c>
      <c r="E248" s="25">
        <f>80456.2-45</f>
        <v>80411.2</v>
      </c>
      <c r="F248" s="25">
        <v>80269.45566</v>
      </c>
      <c r="G248" s="41">
        <f t="shared" si="3"/>
        <v>99.82372562528604</v>
      </c>
    </row>
    <row r="249" spans="1:7" ht="103.5" customHeight="1">
      <c r="A249" s="1" t="s">
        <v>66</v>
      </c>
      <c r="B249" s="9" t="s">
        <v>65</v>
      </c>
      <c r="C249" s="5" t="s">
        <v>310</v>
      </c>
      <c r="D249" s="5" t="s">
        <v>94</v>
      </c>
      <c r="E249" s="25">
        <v>45</v>
      </c>
      <c r="F249" s="25">
        <v>45</v>
      </c>
      <c r="G249" s="41">
        <f t="shared" si="3"/>
        <v>100</v>
      </c>
    </row>
    <row r="250" spans="1:7" ht="135">
      <c r="A250" s="10" t="s">
        <v>506</v>
      </c>
      <c r="B250" s="9" t="s">
        <v>67</v>
      </c>
      <c r="C250" s="5" t="s">
        <v>306</v>
      </c>
      <c r="D250" s="5" t="s">
        <v>265</v>
      </c>
      <c r="E250" s="25">
        <f>2016.8+14.044</f>
        <v>2030.844</v>
      </c>
      <c r="F250" s="25">
        <v>2030.47365</v>
      </c>
      <c r="G250" s="41">
        <f t="shared" si="3"/>
        <v>99.98176373960777</v>
      </c>
    </row>
    <row r="251" spans="1:7" ht="105">
      <c r="A251" s="1" t="s">
        <v>246</v>
      </c>
      <c r="B251" s="9" t="s">
        <v>67</v>
      </c>
      <c r="C251" s="5" t="s">
        <v>307</v>
      </c>
      <c r="D251" s="5" t="s">
        <v>265</v>
      </c>
      <c r="E251" s="25">
        <f>151.2-14.044</f>
        <v>137.15599999999998</v>
      </c>
      <c r="F251" s="25">
        <v>137.156</v>
      </c>
      <c r="G251" s="41">
        <f t="shared" si="3"/>
        <v>100.00000000000003</v>
      </c>
    </row>
    <row r="252" spans="1:7" ht="105">
      <c r="A252" s="1" t="s">
        <v>467</v>
      </c>
      <c r="B252" s="9" t="s">
        <v>247</v>
      </c>
      <c r="C252" s="5" t="s">
        <v>309</v>
      </c>
      <c r="D252" s="5" t="s">
        <v>273</v>
      </c>
      <c r="E252" s="25">
        <v>12</v>
      </c>
      <c r="F252" s="25">
        <v>12</v>
      </c>
      <c r="G252" s="41">
        <f t="shared" si="3"/>
        <v>100</v>
      </c>
    </row>
    <row r="253" spans="1:7" ht="138.75" customHeight="1">
      <c r="A253" s="1" t="s">
        <v>576</v>
      </c>
      <c r="B253" s="9" t="s">
        <v>575</v>
      </c>
      <c r="C253" s="5" t="s">
        <v>310</v>
      </c>
      <c r="D253" s="5" t="s">
        <v>94</v>
      </c>
      <c r="E253" s="25">
        <v>70</v>
      </c>
      <c r="F253" s="25">
        <v>70</v>
      </c>
      <c r="G253" s="41">
        <f t="shared" si="3"/>
        <v>100</v>
      </c>
    </row>
    <row r="254" spans="1:7" ht="108" customHeight="1">
      <c r="A254" s="14" t="s">
        <v>565</v>
      </c>
      <c r="B254" s="9" t="s">
        <v>563</v>
      </c>
      <c r="C254" s="5" t="s">
        <v>310</v>
      </c>
      <c r="D254" s="5" t="s">
        <v>553</v>
      </c>
      <c r="E254" s="25">
        <v>137.4</v>
      </c>
      <c r="F254" s="25">
        <v>137.4</v>
      </c>
      <c r="G254" s="41">
        <f t="shared" si="3"/>
        <v>100</v>
      </c>
    </row>
    <row r="255" spans="1:7" ht="120" customHeight="1">
      <c r="A255" s="1" t="s">
        <v>602</v>
      </c>
      <c r="B255" s="9" t="s">
        <v>601</v>
      </c>
      <c r="C255" s="5" t="s">
        <v>310</v>
      </c>
      <c r="D255" s="5" t="s">
        <v>263</v>
      </c>
      <c r="E255" s="25">
        <v>120</v>
      </c>
      <c r="F255" s="25">
        <v>120</v>
      </c>
      <c r="G255" s="41">
        <f t="shared" si="3"/>
        <v>100</v>
      </c>
    </row>
    <row r="256" spans="1:7" ht="180">
      <c r="A256" s="10" t="s">
        <v>450</v>
      </c>
      <c r="B256" s="9" t="s">
        <v>248</v>
      </c>
      <c r="C256" s="5" t="s">
        <v>310</v>
      </c>
      <c r="D256" s="5" t="s">
        <v>263</v>
      </c>
      <c r="E256" s="25">
        <f>2051.3-100.832</f>
        <v>1950.4680000000003</v>
      </c>
      <c r="F256" s="25">
        <v>1950.468</v>
      </c>
      <c r="G256" s="41">
        <f t="shared" si="3"/>
        <v>99.99999999999999</v>
      </c>
    </row>
    <row r="257" spans="1:7" ht="123" customHeight="1">
      <c r="A257" s="14" t="s">
        <v>566</v>
      </c>
      <c r="B257" s="9" t="s">
        <v>564</v>
      </c>
      <c r="C257" s="5" t="s">
        <v>310</v>
      </c>
      <c r="D257" s="5" t="s">
        <v>553</v>
      </c>
      <c r="E257" s="25">
        <v>7.2</v>
      </c>
      <c r="F257" s="25">
        <v>7.2</v>
      </c>
      <c r="G257" s="41">
        <f t="shared" si="3"/>
        <v>100</v>
      </c>
    </row>
    <row r="258" spans="1:7" ht="30">
      <c r="A258" s="1" t="s">
        <v>249</v>
      </c>
      <c r="B258" s="9" t="s">
        <v>250</v>
      </c>
      <c r="C258" s="5" t="s">
        <v>272</v>
      </c>
      <c r="D258" s="5" t="s">
        <v>294</v>
      </c>
      <c r="E258" s="25">
        <f>E259</f>
        <v>2700</v>
      </c>
      <c r="F258" s="25">
        <f>F259</f>
        <v>2695.06553</v>
      </c>
      <c r="G258" s="41">
        <f t="shared" si="3"/>
        <v>99.81724185185185</v>
      </c>
    </row>
    <row r="259" spans="1:7" ht="90">
      <c r="A259" s="1" t="s">
        <v>252</v>
      </c>
      <c r="B259" s="9" t="s">
        <v>251</v>
      </c>
      <c r="C259" s="5" t="s">
        <v>310</v>
      </c>
      <c r="D259" s="5" t="s">
        <v>285</v>
      </c>
      <c r="E259" s="25">
        <f>1340+1360</f>
        <v>2700</v>
      </c>
      <c r="F259" s="25">
        <v>2695.06553</v>
      </c>
      <c r="G259" s="41">
        <f t="shared" si="3"/>
        <v>99.81724185185185</v>
      </c>
    </row>
    <row r="260" spans="1:7" ht="28.5">
      <c r="A260" s="6" t="s">
        <v>253</v>
      </c>
      <c r="B260" s="7" t="s">
        <v>254</v>
      </c>
      <c r="C260" s="7" t="s">
        <v>272</v>
      </c>
      <c r="D260" s="7" t="s">
        <v>294</v>
      </c>
      <c r="E260" s="26">
        <f>E261+E275+E289</f>
        <v>93792.24883</v>
      </c>
      <c r="F260" s="26">
        <f>F261+F275+F289</f>
        <v>93697.38913</v>
      </c>
      <c r="G260" s="40">
        <f t="shared" si="3"/>
        <v>99.89886189830895</v>
      </c>
    </row>
    <row r="261" spans="1:7" s="36" customFormat="1" ht="45">
      <c r="A261" s="4" t="s">
        <v>217</v>
      </c>
      <c r="B261" s="9" t="s">
        <v>216</v>
      </c>
      <c r="C261" s="9" t="s">
        <v>272</v>
      </c>
      <c r="D261" s="9" t="s">
        <v>294</v>
      </c>
      <c r="E261" s="27">
        <f>SUM(E262:E274)</f>
        <v>39075.57248</v>
      </c>
      <c r="F261" s="27">
        <f>SUM(F262:F274)</f>
        <v>39002.79024999999</v>
      </c>
      <c r="G261" s="41">
        <f t="shared" si="3"/>
        <v>99.81373982419001</v>
      </c>
    </row>
    <row r="262" spans="1:7" ht="150">
      <c r="A262" s="10" t="s">
        <v>342</v>
      </c>
      <c r="B262" s="5" t="s">
        <v>343</v>
      </c>
      <c r="C262" s="5" t="s">
        <v>306</v>
      </c>
      <c r="D262" s="5" t="s">
        <v>257</v>
      </c>
      <c r="E262" s="25">
        <f>1889-305.91917</f>
        <v>1583.0808299999999</v>
      </c>
      <c r="F262" s="25">
        <v>1583.08083</v>
      </c>
      <c r="G262" s="41">
        <f t="shared" si="3"/>
        <v>100.00000000000003</v>
      </c>
    </row>
    <row r="263" spans="1:7" ht="150.75" customHeight="1">
      <c r="A263" s="10" t="s">
        <v>347</v>
      </c>
      <c r="B263" s="5" t="s">
        <v>344</v>
      </c>
      <c r="C263" s="5" t="s">
        <v>306</v>
      </c>
      <c r="D263" s="5" t="s">
        <v>130</v>
      </c>
      <c r="E263" s="25">
        <f>29337-3852-150-30-3-60-15-56-26.3-10-18-6-13.23381-21.23994-72.87115-500-6.6219+40.3993</f>
        <v>24537.132500000003</v>
      </c>
      <c r="F263" s="25">
        <v>24537.1325</v>
      </c>
      <c r="G263" s="41">
        <f t="shared" si="3"/>
        <v>99.99999999999999</v>
      </c>
    </row>
    <row r="264" spans="1:7" ht="121.5" customHeight="1">
      <c r="A264" s="1" t="s">
        <v>546</v>
      </c>
      <c r="B264" s="5" t="s">
        <v>545</v>
      </c>
      <c r="C264" s="5" t="s">
        <v>307</v>
      </c>
      <c r="D264" s="5" t="s">
        <v>277</v>
      </c>
      <c r="E264" s="25">
        <f>2802.5-2200-3.53685</f>
        <v>598.96315</v>
      </c>
      <c r="F264" s="25">
        <v>597.11731</v>
      </c>
      <c r="G264" s="41">
        <f t="shared" si="3"/>
        <v>99.69182745215626</v>
      </c>
    </row>
    <row r="265" spans="1:7" s="37" customFormat="1" ht="120">
      <c r="A265" s="10" t="s">
        <v>32</v>
      </c>
      <c r="B265" s="5" t="s">
        <v>162</v>
      </c>
      <c r="C265" s="5" t="s">
        <v>308</v>
      </c>
      <c r="D265" s="5" t="s">
        <v>255</v>
      </c>
      <c r="E265" s="25">
        <f>43.7+15.9-43.26</f>
        <v>16.340000000000003</v>
      </c>
      <c r="F265" s="25">
        <v>16.34</v>
      </c>
      <c r="G265" s="41">
        <f t="shared" si="3"/>
        <v>99.99999999999997</v>
      </c>
    </row>
    <row r="266" spans="1:7" s="37" customFormat="1" ht="180">
      <c r="A266" s="10" t="s">
        <v>406</v>
      </c>
      <c r="B266" s="5" t="s">
        <v>163</v>
      </c>
      <c r="C266" s="5" t="s">
        <v>309</v>
      </c>
      <c r="D266" s="5" t="s">
        <v>273</v>
      </c>
      <c r="E266" s="25">
        <f>7097.76-1182.96</f>
        <v>5914.8</v>
      </c>
      <c r="F266" s="25">
        <v>5914.8</v>
      </c>
      <c r="G266" s="41">
        <f t="shared" si="3"/>
        <v>100</v>
      </c>
    </row>
    <row r="267" spans="1:7" s="37" customFormat="1" ht="150">
      <c r="A267" s="10" t="s">
        <v>407</v>
      </c>
      <c r="B267" s="5" t="s">
        <v>164</v>
      </c>
      <c r="C267" s="5" t="s">
        <v>309</v>
      </c>
      <c r="D267" s="5" t="s">
        <v>273</v>
      </c>
      <c r="E267" s="25">
        <f>2365.92-1178.244</f>
        <v>1187.6760000000002</v>
      </c>
      <c r="F267" s="25">
        <v>1187.676</v>
      </c>
      <c r="G267" s="41">
        <f aca="true" t="shared" si="4" ref="G267:G330">F267/E267*100</f>
        <v>99.99999999999997</v>
      </c>
    </row>
    <row r="268" spans="1:7" s="37" customFormat="1" ht="165">
      <c r="A268" s="10" t="s">
        <v>33</v>
      </c>
      <c r="B268" s="5" t="s">
        <v>165</v>
      </c>
      <c r="C268" s="5" t="s">
        <v>306</v>
      </c>
      <c r="D268" s="5" t="s">
        <v>289</v>
      </c>
      <c r="E268" s="25">
        <f>3169-11+0.686-5.76713-31.1525+10.54067-19.98705</f>
        <v>3112.3199899999995</v>
      </c>
      <c r="F268" s="25">
        <v>3112.31999</v>
      </c>
      <c r="G268" s="41">
        <f t="shared" si="4"/>
        <v>100.00000000000003</v>
      </c>
    </row>
    <row r="269" spans="1:7" s="37" customFormat="1" ht="120">
      <c r="A269" s="10" t="s">
        <v>34</v>
      </c>
      <c r="B269" s="5" t="s">
        <v>165</v>
      </c>
      <c r="C269" s="5" t="s">
        <v>307</v>
      </c>
      <c r="D269" s="5" t="s">
        <v>289</v>
      </c>
      <c r="E269" s="25">
        <f>797-323-0.686+5.76713+31.1525-10.54067+19.98705</f>
        <v>519.68001</v>
      </c>
      <c r="F269" s="25">
        <v>519.68001</v>
      </c>
      <c r="G269" s="41">
        <f t="shared" si="4"/>
        <v>100</v>
      </c>
    </row>
    <row r="270" spans="1:7" s="37" customFormat="1" ht="150.75" customHeight="1">
      <c r="A270" s="10" t="s">
        <v>431</v>
      </c>
      <c r="B270" s="5" t="s">
        <v>166</v>
      </c>
      <c r="C270" s="5" t="s">
        <v>306</v>
      </c>
      <c r="D270" s="5" t="s">
        <v>130</v>
      </c>
      <c r="E270" s="25">
        <f>701.5-34</f>
        <v>667.5</v>
      </c>
      <c r="F270" s="25">
        <v>614.40483</v>
      </c>
      <c r="G270" s="41">
        <f t="shared" si="4"/>
        <v>92.04566741573032</v>
      </c>
    </row>
    <row r="271" spans="1:7" s="37" customFormat="1" ht="120">
      <c r="A271" s="10" t="s">
        <v>432</v>
      </c>
      <c r="B271" s="5" t="s">
        <v>166</v>
      </c>
      <c r="C271" s="5" t="s">
        <v>307</v>
      </c>
      <c r="D271" s="5" t="s">
        <v>130</v>
      </c>
      <c r="E271" s="25">
        <f>112</f>
        <v>112</v>
      </c>
      <c r="F271" s="25">
        <v>112</v>
      </c>
      <c r="G271" s="41">
        <f t="shared" si="4"/>
        <v>100</v>
      </c>
    </row>
    <row r="272" spans="1:7" s="37" customFormat="1" ht="152.25" customHeight="1">
      <c r="A272" s="15" t="s">
        <v>433</v>
      </c>
      <c r="B272" s="5" t="s">
        <v>167</v>
      </c>
      <c r="C272" s="5" t="s">
        <v>306</v>
      </c>
      <c r="D272" s="5" t="s">
        <v>130</v>
      </c>
      <c r="E272" s="25">
        <f>738.5-37</f>
        <v>701.5</v>
      </c>
      <c r="F272" s="25">
        <v>683.70348</v>
      </c>
      <c r="G272" s="41">
        <f t="shared" si="4"/>
        <v>97.46307626514611</v>
      </c>
    </row>
    <row r="273" spans="1:7" s="37" customFormat="1" ht="120" customHeight="1">
      <c r="A273" s="10" t="s">
        <v>161</v>
      </c>
      <c r="B273" s="5" t="s">
        <v>167</v>
      </c>
      <c r="C273" s="5" t="s">
        <v>307</v>
      </c>
      <c r="D273" s="5" t="s">
        <v>130</v>
      </c>
      <c r="E273" s="25">
        <v>122.5</v>
      </c>
      <c r="F273" s="25">
        <v>122.4553</v>
      </c>
      <c r="G273" s="41">
        <f t="shared" si="4"/>
        <v>99.96351020408163</v>
      </c>
    </row>
    <row r="274" spans="1:7" s="37" customFormat="1" ht="120">
      <c r="A274" s="10" t="s">
        <v>32</v>
      </c>
      <c r="B274" s="5" t="s">
        <v>168</v>
      </c>
      <c r="C274" s="5" t="s">
        <v>308</v>
      </c>
      <c r="D274" s="5" t="s">
        <v>255</v>
      </c>
      <c r="E274" s="25">
        <f>15.72+0.59-14.23</f>
        <v>2.080000000000002</v>
      </c>
      <c r="F274" s="25">
        <v>2.08</v>
      </c>
      <c r="G274" s="41">
        <f t="shared" si="4"/>
        <v>99.99999999999991</v>
      </c>
    </row>
    <row r="275" spans="1:7" s="37" customFormat="1" ht="45">
      <c r="A275" s="1" t="s">
        <v>177</v>
      </c>
      <c r="B275" s="5" t="s">
        <v>176</v>
      </c>
      <c r="C275" s="5" t="s">
        <v>272</v>
      </c>
      <c r="D275" s="5" t="s">
        <v>294</v>
      </c>
      <c r="E275" s="25">
        <f>SUM(E276:E288)</f>
        <v>49163.67634999999</v>
      </c>
      <c r="F275" s="25">
        <f>SUM(F276:F288)</f>
        <v>49162.591349999995</v>
      </c>
      <c r="G275" s="41">
        <f t="shared" si="4"/>
        <v>99.9977930861145</v>
      </c>
    </row>
    <row r="276" spans="1:7" ht="152.25" customHeight="1">
      <c r="A276" s="10" t="s">
        <v>178</v>
      </c>
      <c r="B276" s="5" t="s">
        <v>169</v>
      </c>
      <c r="C276" s="5" t="s">
        <v>306</v>
      </c>
      <c r="D276" s="5" t="s">
        <v>289</v>
      </c>
      <c r="E276" s="25">
        <f>26483.7-192.5-88.21+3747.1-119-62-38.075-36.05-64-67.5-129.97-96.25-11.555-53.17-22.5-89.9-17.51462-15.03327-49.6-40.4-63.7-40-12-25.0968-86-91.82-25.527-172.37338-85.86243-1800+339.99861+3.53685</f>
        <v>26978.727959999997</v>
      </c>
      <c r="F276" s="25">
        <v>26978.58629</v>
      </c>
      <c r="G276" s="41">
        <f t="shared" si="4"/>
        <v>99.9994748825808</v>
      </c>
    </row>
    <row r="277" spans="1:7" ht="117.75" customHeight="1">
      <c r="A277" s="10" t="s">
        <v>179</v>
      </c>
      <c r="B277" s="5" t="s">
        <v>169</v>
      </c>
      <c r="C277" s="5" t="s">
        <v>307</v>
      </c>
      <c r="D277" s="5" t="s">
        <v>289</v>
      </c>
      <c r="E277" s="25">
        <f>1757.4+192.5+88.21+119+62+38.075+36.05+64+67.5+129.97+96.25+11.555+53.17+22.5+89.9+17.51462+15.03327+49.6-4.528+40.4+63.7+40+12+25.0968+91.82+11.05-109.35985-7.96758</f>
        <v>3072.43926</v>
      </c>
      <c r="F277" s="25">
        <v>3072.43926</v>
      </c>
      <c r="G277" s="41">
        <f t="shared" si="4"/>
        <v>100</v>
      </c>
    </row>
    <row r="278" spans="1:7" ht="104.25" customHeight="1">
      <c r="A278" s="10" t="s">
        <v>180</v>
      </c>
      <c r="B278" s="5" t="s">
        <v>169</v>
      </c>
      <c r="C278" s="5" t="s">
        <v>308</v>
      </c>
      <c r="D278" s="5" t="s">
        <v>289</v>
      </c>
      <c r="E278" s="25">
        <f>20+4.528</f>
        <v>24.528</v>
      </c>
      <c r="F278" s="25">
        <v>24.528</v>
      </c>
      <c r="G278" s="41">
        <f t="shared" si="4"/>
        <v>100</v>
      </c>
    </row>
    <row r="279" spans="1:7" ht="165">
      <c r="A279" s="10" t="s">
        <v>189</v>
      </c>
      <c r="B279" s="5" t="s">
        <v>170</v>
      </c>
      <c r="C279" s="5" t="s">
        <v>306</v>
      </c>
      <c r="D279" s="5" t="s">
        <v>289</v>
      </c>
      <c r="E279" s="25">
        <f>6017-15.76903+0.162+297.94847+86+657.3-139.57142</f>
        <v>6903.07002</v>
      </c>
      <c r="F279" s="25">
        <v>6903.07002</v>
      </c>
      <c r="G279" s="41">
        <f t="shared" si="4"/>
        <v>100</v>
      </c>
    </row>
    <row r="280" spans="1:7" ht="135">
      <c r="A280" s="10" t="s">
        <v>190</v>
      </c>
      <c r="B280" s="5" t="s">
        <v>170</v>
      </c>
      <c r="C280" s="5" t="s">
        <v>307</v>
      </c>
      <c r="D280" s="5" t="s">
        <v>289</v>
      </c>
      <c r="E280" s="25">
        <f>6913.2+15.76903+11.499-0.162-0.74388+8.87181+49.49674+27.94264+89.8554-0.5-297.94847+25.527+161.32338+195.22228+131.8+20.6676</f>
        <v>7351.820529999999</v>
      </c>
      <c r="F280" s="25">
        <v>7351.82053</v>
      </c>
      <c r="G280" s="41">
        <f t="shared" si="4"/>
        <v>100.00000000000003</v>
      </c>
    </row>
    <row r="281" spans="1:7" ht="120">
      <c r="A281" s="10" t="s">
        <v>191</v>
      </c>
      <c r="B281" s="5" t="s">
        <v>170</v>
      </c>
      <c r="C281" s="5" t="s">
        <v>308</v>
      </c>
      <c r="D281" s="5" t="s">
        <v>289</v>
      </c>
      <c r="E281" s="25">
        <f>415-11.499+0.74388-8.87181-49.49674-27.94264+0.5</f>
        <v>318.43369</v>
      </c>
      <c r="F281" s="25">
        <v>318.43369</v>
      </c>
      <c r="G281" s="41">
        <f t="shared" si="4"/>
        <v>100</v>
      </c>
    </row>
    <row r="282" spans="1:7" ht="150">
      <c r="A282" s="10" t="s">
        <v>192</v>
      </c>
      <c r="B282" s="5" t="s">
        <v>171</v>
      </c>
      <c r="C282" s="5" t="s">
        <v>306</v>
      </c>
      <c r="D282" s="5" t="s">
        <v>289</v>
      </c>
      <c r="E282" s="25">
        <f>1945+104.9+94+102.32809</f>
        <v>2246.22809</v>
      </c>
      <c r="F282" s="25">
        <v>2245.32476</v>
      </c>
      <c r="G282" s="41">
        <f t="shared" si="4"/>
        <v>99.95978458269569</v>
      </c>
    </row>
    <row r="283" spans="1:7" ht="105">
      <c r="A283" s="10" t="s">
        <v>475</v>
      </c>
      <c r="B283" s="5" t="s">
        <v>171</v>
      </c>
      <c r="C283" s="5" t="s">
        <v>307</v>
      </c>
      <c r="D283" s="5" t="s">
        <v>289</v>
      </c>
      <c r="E283" s="25">
        <f>267+23.8376-8.235</f>
        <v>282.6026</v>
      </c>
      <c r="F283" s="25">
        <v>282.6026</v>
      </c>
      <c r="G283" s="41">
        <f t="shared" si="4"/>
        <v>100</v>
      </c>
    </row>
    <row r="284" spans="1:7" ht="105" customHeight="1">
      <c r="A284" s="10" t="s">
        <v>476</v>
      </c>
      <c r="B284" s="5" t="s">
        <v>172</v>
      </c>
      <c r="C284" s="5" t="s">
        <v>307</v>
      </c>
      <c r="D284" s="5" t="s">
        <v>289</v>
      </c>
      <c r="E284" s="25">
        <f>250+20</f>
        <v>270</v>
      </c>
      <c r="F284" s="25">
        <v>270</v>
      </c>
      <c r="G284" s="41">
        <f t="shared" si="4"/>
        <v>100</v>
      </c>
    </row>
    <row r="285" spans="1:7" ht="135">
      <c r="A285" s="10" t="s">
        <v>477</v>
      </c>
      <c r="B285" s="5" t="s">
        <v>173</v>
      </c>
      <c r="C285" s="5" t="s">
        <v>309</v>
      </c>
      <c r="D285" s="5" t="s">
        <v>289</v>
      </c>
      <c r="E285" s="25">
        <v>499</v>
      </c>
      <c r="F285" s="25">
        <v>498.96</v>
      </c>
      <c r="G285" s="41">
        <f t="shared" si="4"/>
        <v>99.99198396793587</v>
      </c>
    </row>
    <row r="286" spans="1:7" ht="90.75" customHeight="1">
      <c r="A286" s="1" t="s">
        <v>521</v>
      </c>
      <c r="B286" s="5" t="s">
        <v>520</v>
      </c>
      <c r="C286" s="5" t="s">
        <v>308</v>
      </c>
      <c r="D286" s="5" t="s">
        <v>289</v>
      </c>
      <c r="E286" s="25">
        <f>150+30+3+60+15+56+26.3+10+18+6</f>
        <v>374.3</v>
      </c>
      <c r="F286" s="25">
        <v>374.3</v>
      </c>
      <c r="G286" s="41">
        <f t="shared" si="4"/>
        <v>100</v>
      </c>
    </row>
    <row r="287" spans="1:7" ht="116.25" customHeight="1">
      <c r="A287" s="1" t="s">
        <v>478</v>
      </c>
      <c r="B287" s="5" t="s">
        <v>174</v>
      </c>
      <c r="C287" s="5" t="s">
        <v>307</v>
      </c>
      <c r="D287" s="5" t="s">
        <v>289</v>
      </c>
      <c r="E287" s="25">
        <f>688-23.8376+13.23381+21.23994+52.87115+6.6219</f>
        <v>758.1292</v>
      </c>
      <c r="F287" s="25">
        <v>758.1292</v>
      </c>
      <c r="G287" s="41">
        <f t="shared" si="4"/>
        <v>100</v>
      </c>
    </row>
    <row r="288" spans="1:7" ht="120">
      <c r="A288" s="1" t="s">
        <v>479</v>
      </c>
      <c r="B288" s="5" t="s">
        <v>175</v>
      </c>
      <c r="C288" s="5" t="s">
        <v>307</v>
      </c>
      <c r="D288" s="5" t="s">
        <v>289</v>
      </c>
      <c r="E288" s="25">
        <f>180-89.8554-5.7476</f>
        <v>84.39699999999999</v>
      </c>
      <c r="F288" s="25">
        <v>84.397</v>
      </c>
      <c r="G288" s="41">
        <f t="shared" si="4"/>
        <v>100.00000000000003</v>
      </c>
    </row>
    <row r="289" spans="1:7" ht="30">
      <c r="A289" s="1" t="s">
        <v>464</v>
      </c>
      <c r="B289" s="5" t="s">
        <v>345</v>
      </c>
      <c r="C289" s="5" t="s">
        <v>272</v>
      </c>
      <c r="D289" s="5" t="s">
        <v>294</v>
      </c>
      <c r="E289" s="25">
        <f>E290+E291</f>
        <v>5553</v>
      </c>
      <c r="F289" s="25">
        <f>F290+F291</f>
        <v>5532.00753</v>
      </c>
      <c r="G289" s="41">
        <f t="shared" si="4"/>
        <v>99.62196164235549</v>
      </c>
    </row>
    <row r="290" spans="1:7" ht="105">
      <c r="A290" s="10" t="s">
        <v>465</v>
      </c>
      <c r="B290" s="5" t="s">
        <v>346</v>
      </c>
      <c r="C290" s="5" t="s">
        <v>310</v>
      </c>
      <c r="D290" s="5" t="s">
        <v>282</v>
      </c>
      <c r="E290" s="25">
        <v>1257</v>
      </c>
      <c r="F290" s="25">
        <v>1256.96505</v>
      </c>
      <c r="G290" s="41">
        <f t="shared" si="4"/>
        <v>99.99721957040573</v>
      </c>
    </row>
    <row r="291" spans="1:7" ht="105">
      <c r="A291" s="10" t="s">
        <v>465</v>
      </c>
      <c r="B291" s="5" t="s">
        <v>346</v>
      </c>
      <c r="C291" s="5" t="s">
        <v>310</v>
      </c>
      <c r="D291" s="5" t="s">
        <v>283</v>
      </c>
      <c r="E291" s="25">
        <f>5296-1000</f>
        <v>4296</v>
      </c>
      <c r="F291" s="25">
        <v>4275.04248</v>
      </c>
      <c r="G291" s="41">
        <f t="shared" si="4"/>
        <v>99.51216201117319</v>
      </c>
    </row>
    <row r="292" spans="1:7" s="37" customFormat="1" ht="28.5">
      <c r="A292" s="6" t="s">
        <v>337</v>
      </c>
      <c r="B292" s="7" t="s">
        <v>338</v>
      </c>
      <c r="C292" s="7" t="s">
        <v>272</v>
      </c>
      <c r="D292" s="7" t="s">
        <v>294</v>
      </c>
      <c r="E292" s="26">
        <f>SUM(E293:E308)</f>
        <v>129685.7</v>
      </c>
      <c r="F292" s="26">
        <f>SUM(F293:F308)</f>
        <v>128627.48487000001</v>
      </c>
      <c r="G292" s="40">
        <f t="shared" si="4"/>
        <v>99.1840155622401</v>
      </c>
    </row>
    <row r="293" spans="1:7" s="37" customFormat="1" ht="120">
      <c r="A293" s="10" t="s">
        <v>311</v>
      </c>
      <c r="B293" s="5" t="s">
        <v>388</v>
      </c>
      <c r="C293" s="5" t="s">
        <v>306</v>
      </c>
      <c r="D293" s="5" t="s">
        <v>287</v>
      </c>
      <c r="E293" s="25">
        <v>3718</v>
      </c>
      <c r="F293" s="25">
        <v>3685.55118</v>
      </c>
      <c r="G293" s="41">
        <f t="shared" si="4"/>
        <v>99.12725067240451</v>
      </c>
    </row>
    <row r="294" spans="1:7" s="37" customFormat="1" ht="75">
      <c r="A294" s="10" t="s">
        <v>312</v>
      </c>
      <c r="B294" s="5" t="s">
        <v>389</v>
      </c>
      <c r="C294" s="5" t="s">
        <v>307</v>
      </c>
      <c r="D294" s="5" t="s">
        <v>287</v>
      </c>
      <c r="E294" s="25">
        <v>30</v>
      </c>
      <c r="F294" s="25">
        <v>29.99878</v>
      </c>
      <c r="G294" s="41">
        <f t="shared" si="4"/>
        <v>99.99593333333333</v>
      </c>
    </row>
    <row r="295" spans="1:7" ht="75">
      <c r="A295" s="10" t="s">
        <v>340</v>
      </c>
      <c r="B295" s="5" t="s">
        <v>339</v>
      </c>
      <c r="C295" s="5" t="s">
        <v>310</v>
      </c>
      <c r="D295" s="5" t="s">
        <v>266</v>
      </c>
      <c r="E295" s="25">
        <f>19515.4-16.4-153.2-213</f>
        <v>19132.8</v>
      </c>
      <c r="F295" s="25">
        <v>18754.45445</v>
      </c>
      <c r="G295" s="41">
        <f t="shared" si="4"/>
        <v>98.02252911230977</v>
      </c>
    </row>
    <row r="296" spans="1:7" ht="78.75" customHeight="1">
      <c r="A296" s="10" t="s">
        <v>340</v>
      </c>
      <c r="B296" s="5" t="s">
        <v>339</v>
      </c>
      <c r="C296" s="5" t="s">
        <v>310</v>
      </c>
      <c r="D296" s="5" t="s">
        <v>94</v>
      </c>
      <c r="E296" s="25">
        <v>16.4</v>
      </c>
      <c r="F296" s="25">
        <v>16.4</v>
      </c>
      <c r="G296" s="41">
        <f t="shared" si="4"/>
        <v>100</v>
      </c>
    </row>
    <row r="297" spans="1:7" ht="75">
      <c r="A297" s="10" t="s">
        <v>382</v>
      </c>
      <c r="B297" s="5" t="s">
        <v>341</v>
      </c>
      <c r="C297" s="5" t="s">
        <v>310</v>
      </c>
      <c r="D297" s="5" t="s">
        <v>266</v>
      </c>
      <c r="E297" s="25">
        <f>37505.8+15000+1500+213</f>
        <v>54218.8</v>
      </c>
      <c r="F297" s="25">
        <v>53591.97614</v>
      </c>
      <c r="G297" s="41">
        <f t="shared" si="4"/>
        <v>98.84389942234058</v>
      </c>
    </row>
    <row r="298" spans="1:7" ht="75">
      <c r="A298" s="10" t="s">
        <v>384</v>
      </c>
      <c r="B298" s="5" t="s">
        <v>383</v>
      </c>
      <c r="C298" s="5" t="s">
        <v>310</v>
      </c>
      <c r="D298" s="5" t="s">
        <v>263</v>
      </c>
      <c r="E298" s="25">
        <f>29466+153.2</f>
        <v>29619.2</v>
      </c>
      <c r="F298" s="25">
        <v>29618.94625</v>
      </c>
      <c r="G298" s="41">
        <f t="shared" si="4"/>
        <v>99.99914329218885</v>
      </c>
    </row>
    <row r="299" spans="1:7" ht="105">
      <c r="A299" s="10" t="s">
        <v>385</v>
      </c>
      <c r="B299" s="5" t="s">
        <v>387</v>
      </c>
      <c r="C299" s="5" t="s">
        <v>306</v>
      </c>
      <c r="D299" s="5" t="s">
        <v>287</v>
      </c>
      <c r="E299" s="25">
        <f>4127+140.03492</f>
        <v>4267.03492</v>
      </c>
      <c r="F299" s="25">
        <v>4267.03492</v>
      </c>
      <c r="G299" s="41">
        <f t="shared" si="4"/>
        <v>100</v>
      </c>
    </row>
    <row r="300" spans="1:7" ht="75">
      <c r="A300" s="10" t="s">
        <v>386</v>
      </c>
      <c r="B300" s="5" t="s">
        <v>387</v>
      </c>
      <c r="C300" s="5" t="s">
        <v>307</v>
      </c>
      <c r="D300" s="5" t="s">
        <v>287</v>
      </c>
      <c r="E300" s="25">
        <f>706-140.03492</f>
        <v>565.96508</v>
      </c>
      <c r="F300" s="25">
        <v>545.62315</v>
      </c>
      <c r="G300" s="41">
        <f t="shared" si="4"/>
        <v>96.40579768631663</v>
      </c>
    </row>
    <row r="301" spans="1:7" ht="75" hidden="1">
      <c r="A301" s="10" t="s">
        <v>314</v>
      </c>
      <c r="B301" s="5" t="s">
        <v>313</v>
      </c>
      <c r="C301" s="5" t="s">
        <v>310</v>
      </c>
      <c r="D301" s="5" t="s">
        <v>266</v>
      </c>
      <c r="E301" s="25"/>
      <c r="F301" s="25"/>
      <c r="G301" s="41" t="e">
        <f t="shared" si="4"/>
        <v>#DIV/0!</v>
      </c>
    </row>
    <row r="302" spans="1:7" ht="108.75" customHeight="1">
      <c r="A302" s="10" t="s">
        <v>572</v>
      </c>
      <c r="B302" s="5" t="s">
        <v>571</v>
      </c>
      <c r="C302" s="5" t="s">
        <v>310</v>
      </c>
      <c r="D302" s="5" t="s">
        <v>94</v>
      </c>
      <c r="E302" s="25">
        <v>38</v>
      </c>
      <c r="F302" s="25">
        <v>38</v>
      </c>
      <c r="G302" s="41">
        <f t="shared" si="4"/>
        <v>100</v>
      </c>
    </row>
    <row r="303" spans="1:7" ht="84.75" customHeight="1">
      <c r="A303" s="10" t="s">
        <v>604</v>
      </c>
      <c r="B303" s="5" t="s">
        <v>603</v>
      </c>
      <c r="C303" s="5" t="s">
        <v>310</v>
      </c>
      <c r="D303" s="5" t="s">
        <v>266</v>
      </c>
      <c r="E303" s="25">
        <v>550</v>
      </c>
      <c r="F303" s="25">
        <v>550</v>
      </c>
      <c r="G303" s="41">
        <f t="shared" si="4"/>
        <v>100</v>
      </c>
    </row>
    <row r="304" spans="1:7" ht="120">
      <c r="A304" s="10" t="s">
        <v>195</v>
      </c>
      <c r="B304" s="5" t="s">
        <v>315</v>
      </c>
      <c r="C304" s="5" t="s">
        <v>309</v>
      </c>
      <c r="D304" s="5" t="s">
        <v>273</v>
      </c>
      <c r="E304" s="25">
        <f>48+4.142</f>
        <v>52.142</v>
      </c>
      <c r="F304" s="25">
        <v>52.142</v>
      </c>
      <c r="G304" s="41">
        <f t="shared" si="4"/>
        <v>100</v>
      </c>
    </row>
    <row r="305" spans="1:7" ht="135">
      <c r="A305" s="10" t="s">
        <v>194</v>
      </c>
      <c r="B305" s="5" t="s">
        <v>315</v>
      </c>
      <c r="C305" s="5" t="s">
        <v>310</v>
      </c>
      <c r="D305" s="5" t="s">
        <v>266</v>
      </c>
      <c r="E305" s="25">
        <f>218.5-4.142</f>
        <v>214.358</v>
      </c>
      <c r="F305" s="25">
        <v>214.358</v>
      </c>
      <c r="G305" s="41">
        <f t="shared" si="4"/>
        <v>100</v>
      </c>
    </row>
    <row r="306" spans="1:7" ht="105">
      <c r="A306" s="10" t="s">
        <v>197</v>
      </c>
      <c r="B306" s="5" t="s">
        <v>196</v>
      </c>
      <c r="C306" s="5" t="s">
        <v>310</v>
      </c>
      <c r="D306" s="5" t="s">
        <v>263</v>
      </c>
      <c r="E306" s="25">
        <v>4414</v>
      </c>
      <c r="F306" s="25">
        <v>4414</v>
      </c>
      <c r="G306" s="41">
        <f t="shared" si="4"/>
        <v>100</v>
      </c>
    </row>
    <row r="307" spans="1:7" ht="105">
      <c r="A307" s="10" t="s">
        <v>197</v>
      </c>
      <c r="B307" s="5" t="s">
        <v>196</v>
      </c>
      <c r="C307" s="5" t="s">
        <v>310</v>
      </c>
      <c r="D307" s="5" t="s">
        <v>266</v>
      </c>
      <c r="E307" s="25">
        <v>12803</v>
      </c>
      <c r="F307" s="25">
        <v>12803</v>
      </c>
      <c r="G307" s="41">
        <f t="shared" si="4"/>
        <v>100</v>
      </c>
    </row>
    <row r="308" spans="1:7" ht="90">
      <c r="A308" s="10" t="s">
        <v>199</v>
      </c>
      <c r="B308" s="5" t="s">
        <v>198</v>
      </c>
      <c r="C308" s="5" t="s">
        <v>310</v>
      </c>
      <c r="D308" s="5" t="s">
        <v>266</v>
      </c>
      <c r="E308" s="25">
        <v>46</v>
      </c>
      <c r="F308" s="25">
        <v>46</v>
      </c>
      <c r="G308" s="41">
        <f t="shared" si="4"/>
        <v>100</v>
      </c>
    </row>
    <row r="309" spans="1:7" ht="28.5">
      <c r="A309" s="19" t="s">
        <v>200</v>
      </c>
      <c r="B309" s="7" t="s">
        <v>201</v>
      </c>
      <c r="C309" s="7" t="s">
        <v>272</v>
      </c>
      <c r="D309" s="7" t="s">
        <v>294</v>
      </c>
      <c r="E309" s="26">
        <f>E310+E320</f>
        <v>28174.916</v>
      </c>
      <c r="F309" s="26">
        <f>F310+F320</f>
        <v>27454.83475</v>
      </c>
      <c r="G309" s="40">
        <f t="shared" si="4"/>
        <v>97.44424703874894</v>
      </c>
    </row>
    <row r="310" spans="1:7" ht="30">
      <c r="A310" s="10" t="s">
        <v>202</v>
      </c>
      <c r="B310" s="5" t="s">
        <v>203</v>
      </c>
      <c r="C310" s="5" t="s">
        <v>272</v>
      </c>
      <c r="D310" s="5" t="s">
        <v>294</v>
      </c>
      <c r="E310" s="25">
        <f>SUM(E311:E319)</f>
        <v>4536</v>
      </c>
      <c r="F310" s="25">
        <f>SUM(F311:F319)</f>
        <v>4492.7167</v>
      </c>
      <c r="G310" s="41">
        <f t="shared" si="4"/>
        <v>99.04578262786596</v>
      </c>
    </row>
    <row r="311" spans="1:7" ht="135">
      <c r="A311" s="1" t="s">
        <v>218</v>
      </c>
      <c r="B311" s="5" t="s">
        <v>221</v>
      </c>
      <c r="C311" s="5" t="s">
        <v>306</v>
      </c>
      <c r="D311" s="5" t="s">
        <v>265</v>
      </c>
      <c r="E311" s="25">
        <v>2114.5</v>
      </c>
      <c r="F311" s="25">
        <v>2114.5</v>
      </c>
      <c r="G311" s="41">
        <f t="shared" si="4"/>
        <v>100</v>
      </c>
    </row>
    <row r="312" spans="1:7" ht="88.5" customHeight="1">
      <c r="A312" s="1" t="s">
        <v>219</v>
      </c>
      <c r="B312" s="5" t="s">
        <v>222</v>
      </c>
      <c r="C312" s="5" t="s">
        <v>307</v>
      </c>
      <c r="D312" s="5" t="s">
        <v>265</v>
      </c>
      <c r="E312" s="25">
        <v>7.2</v>
      </c>
      <c r="F312" s="25">
        <v>2.319</v>
      </c>
      <c r="G312" s="41">
        <f t="shared" si="4"/>
        <v>32.208333333333336</v>
      </c>
    </row>
    <row r="313" spans="1:7" ht="74.25" customHeight="1">
      <c r="A313" s="1" t="s">
        <v>220</v>
      </c>
      <c r="B313" s="5" t="s">
        <v>222</v>
      </c>
      <c r="C313" s="5" t="s">
        <v>308</v>
      </c>
      <c r="D313" s="5" t="s">
        <v>265</v>
      </c>
      <c r="E313" s="25">
        <f>8.4+0.525</f>
        <v>8.925</v>
      </c>
      <c r="F313" s="25">
        <v>8.925</v>
      </c>
      <c r="G313" s="41">
        <f t="shared" si="4"/>
        <v>100</v>
      </c>
    </row>
    <row r="314" spans="1:7" ht="90">
      <c r="A314" s="10" t="s">
        <v>224</v>
      </c>
      <c r="B314" s="5" t="s">
        <v>223</v>
      </c>
      <c r="C314" s="5" t="s">
        <v>307</v>
      </c>
      <c r="D314" s="5" t="s">
        <v>264</v>
      </c>
      <c r="E314" s="25">
        <f>824+400</f>
        <v>1224</v>
      </c>
      <c r="F314" s="25">
        <v>1185.5977</v>
      </c>
      <c r="G314" s="41">
        <f t="shared" si="4"/>
        <v>96.86255718954249</v>
      </c>
    </row>
    <row r="315" spans="1:7" ht="121.5" customHeight="1">
      <c r="A315" s="1" t="s">
        <v>226</v>
      </c>
      <c r="B315" s="5" t="s">
        <v>225</v>
      </c>
      <c r="C315" s="5" t="s">
        <v>306</v>
      </c>
      <c r="D315" s="5" t="s">
        <v>265</v>
      </c>
      <c r="E315" s="25">
        <f>849.4-4.449-4.45-5.425</f>
        <v>835.076</v>
      </c>
      <c r="F315" s="25">
        <v>835.076</v>
      </c>
      <c r="G315" s="41">
        <f t="shared" si="4"/>
        <v>100</v>
      </c>
    </row>
    <row r="316" spans="1:7" ht="92.25" customHeight="1">
      <c r="A316" s="1" t="s">
        <v>227</v>
      </c>
      <c r="B316" s="5" t="s">
        <v>225</v>
      </c>
      <c r="C316" s="5" t="s">
        <v>307</v>
      </c>
      <c r="D316" s="5" t="s">
        <v>265</v>
      </c>
      <c r="E316" s="25">
        <f>22.5+4.449+4.45+4.9</f>
        <v>36.299</v>
      </c>
      <c r="F316" s="25">
        <v>36.299</v>
      </c>
      <c r="G316" s="41">
        <f t="shared" si="4"/>
        <v>100</v>
      </c>
    </row>
    <row r="317" spans="1:7" ht="78.75" customHeight="1" hidden="1">
      <c r="A317" s="20" t="s">
        <v>228</v>
      </c>
      <c r="B317" s="5" t="s">
        <v>225</v>
      </c>
      <c r="C317" s="5" t="s">
        <v>308</v>
      </c>
      <c r="D317" s="5" t="s">
        <v>265</v>
      </c>
      <c r="E317" s="25"/>
      <c r="F317" s="25"/>
      <c r="G317" s="41" t="e">
        <f t="shared" si="4"/>
        <v>#DIV/0!</v>
      </c>
    </row>
    <row r="318" spans="1:7" ht="110.25" customHeight="1">
      <c r="A318" s="10" t="s">
        <v>598</v>
      </c>
      <c r="B318" s="5" t="s">
        <v>597</v>
      </c>
      <c r="C318" s="5" t="s">
        <v>307</v>
      </c>
      <c r="D318" s="5" t="s">
        <v>264</v>
      </c>
      <c r="E318" s="25">
        <v>140</v>
      </c>
      <c r="F318" s="25">
        <v>140</v>
      </c>
      <c r="G318" s="41">
        <f t="shared" si="4"/>
        <v>100</v>
      </c>
    </row>
    <row r="319" spans="1:7" ht="114" customHeight="1">
      <c r="A319" s="10" t="s">
        <v>538</v>
      </c>
      <c r="B319" s="5" t="s">
        <v>537</v>
      </c>
      <c r="C319" s="5" t="s">
        <v>307</v>
      </c>
      <c r="D319" s="5" t="s">
        <v>264</v>
      </c>
      <c r="E319" s="25">
        <f>150+20</f>
        <v>170</v>
      </c>
      <c r="F319" s="25">
        <v>170</v>
      </c>
      <c r="G319" s="41">
        <f t="shared" si="4"/>
        <v>100</v>
      </c>
    </row>
    <row r="320" spans="1:7" ht="30.75" customHeight="1">
      <c r="A320" s="1" t="s">
        <v>229</v>
      </c>
      <c r="B320" s="5" t="s">
        <v>230</v>
      </c>
      <c r="C320" s="5" t="s">
        <v>272</v>
      </c>
      <c r="D320" s="5" t="s">
        <v>294</v>
      </c>
      <c r="E320" s="25">
        <f>SUM(E321:E324)</f>
        <v>23638.916</v>
      </c>
      <c r="F320" s="25">
        <f>SUM(F321:F324)</f>
        <v>22962.11805</v>
      </c>
      <c r="G320" s="41">
        <f t="shared" si="4"/>
        <v>97.13693322485683</v>
      </c>
    </row>
    <row r="321" spans="1:7" ht="88.5" customHeight="1">
      <c r="A321" s="10" t="s">
        <v>193</v>
      </c>
      <c r="B321" s="5" t="s">
        <v>231</v>
      </c>
      <c r="C321" s="5" t="s">
        <v>70</v>
      </c>
      <c r="D321" s="5" t="s">
        <v>263</v>
      </c>
      <c r="E321" s="25">
        <f>2262-321.15067-580.37691</f>
        <v>1360.47242</v>
      </c>
      <c r="F321" s="25">
        <v>1360.47242</v>
      </c>
      <c r="G321" s="41">
        <f t="shared" si="4"/>
        <v>100</v>
      </c>
    </row>
    <row r="322" spans="1:7" ht="105">
      <c r="A322" s="10" t="s">
        <v>451</v>
      </c>
      <c r="B322" s="5" t="s">
        <v>231</v>
      </c>
      <c r="C322" s="5" t="s">
        <v>310</v>
      </c>
      <c r="D322" s="5" t="s">
        <v>263</v>
      </c>
      <c r="E322" s="25">
        <f>11081.5+9738+321.15067+580.37691</f>
        <v>21721.027579999998</v>
      </c>
      <c r="F322" s="25">
        <v>21044.22963</v>
      </c>
      <c r="G322" s="41">
        <f t="shared" si="4"/>
        <v>96.88413475141863</v>
      </c>
    </row>
    <row r="323" spans="1:7" ht="180">
      <c r="A323" s="10" t="s">
        <v>452</v>
      </c>
      <c r="B323" s="5" t="s">
        <v>232</v>
      </c>
      <c r="C323" s="5" t="s">
        <v>310</v>
      </c>
      <c r="D323" s="5" t="s">
        <v>263</v>
      </c>
      <c r="E323" s="25">
        <f>565.2-27.784</f>
        <v>537.416</v>
      </c>
      <c r="F323" s="25">
        <v>537.416</v>
      </c>
      <c r="G323" s="41">
        <f t="shared" si="4"/>
        <v>100</v>
      </c>
    </row>
    <row r="324" spans="1:7" ht="123" customHeight="1">
      <c r="A324" s="10" t="s">
        <v>540</v>
      </c>
      <c r="B324" s="5" t="s">
        <v>539</v>
      </c>
      <c r="C324" s="5" t="s">
        <v>310</v>
      </c>
      <c r="D324" s="5" t="s">
        <v>264</v>
      </c>
      <c r="E324" s="25">
        <f>40-20</f>
        <v>20</v>
      </c>
      <c r="F324" s="25">
        <v>20</v>
      </c>
      <c r="G324" s="41">
        <f t="shared" si="4"/>
        <v>100</v>
      </c>
    </row>
    <row r="325" spans="1:7" ht="57">
      <c r="A325" s="19" t="s">
        <v>348</v>
      </c>
      <c r="B325" s="7" t="s">
        <v>349</v>
      </c>
      <c r="C325" s="7" t="s">
        <v>272</v>
      </c>
      <c r="D325" s="7" t="s">
        <v>294</v>
      </c>
      <c r="E325" s="26">
        <f>SUM(E326:E332)</f>
        <v>11063.0975</v>
      </c>
      <c r="F325" s="26">
        <f>SUM(F326:F332)</f>
        <v>11063.0975</v>
      </c>
      <c r="G325" s="40">
        <f t="shared" si="4"/>
        <v>100</v>
      </c>
    </row>
    <row r="326" spans="1:7" ht="135">
      <c r="A326" s="10" t="s">
        <v>352</v>
      </c>
      <c r="B326" s="5" t="s">
        <v>350</v>
      </c>
      <c r="C326" s="5" t="s">
        <v>306</v>
      </c>
      <c r="D326" s="5" t="s">
        <v>289</v>
      </c>
      <c r="E326" s="25">
        <f>9529-527.6-46.94099</f>
        <v>8954.45901</v>
      </c>
      <c r="F326" s="25">
        <v>8954.45901</v>
      </c>
      <c r="G326" s="41">
        <f t="shared" si="4"/>
        <v>100</v>
      </c>
    </row>
    <row r="327" spans="1:7" ht="90">
      <c r="A327" s="10" t="s">
        <v>353</v>
      </c>
      <c r="B327" s="5" t="s">
        <v>351</v>
      </c>
      <c r="C327" s="5" t="s">
        <v>307</v>
      </c>
      <c r="D327" s="5" t="s">
        <v>289</v>
      </c>
      <c r="E327" s="25">
        <f>877.1-39.246-47.33262-37.59816</f>
        <v>752.92322</v>
      </c>
      <c r="F327" s="25">
        <v>752.92322</v>
      </c>
      <c r="G327" s="41">
        <f t="shared" si="4"/>
        <v>100</v>
      </c>
    </row>
    <row r="328" spans="1:7" ht="75" hidden="1">
      <c r="A328" s="10" t="s">
        <v>394</v>
      </c>
      <c r="B328" s="5" t="s">
        <v>351</v>
      </c>
      <c r="C328" s="5" t="s">
        <v>308</v>
      </c>
      <c r="D328" s="5" t="s">
        <v>289</v>
      </c>
      <c r="E328" s="25">
        <f>1-0.7-0.3</f>
        <v>0</v>
      </c>
      <c r="F328" s="25"/>
      <c r="G328" s="41" t="e">
        <f t="shared" si="4"/>
        <v>#DIV/0!</v>
      </c>
    </row>
    <row r="329" spans="1:7" ht="64.5" customHeight="1">
      <c r="A329" s="10" t="s">
        <v>37</v>
      </c>
      <c r="B329" s="5" t="s">
        <v>38</v>
      </c>
      <c r="C329" s="5" t="s">
        <v>308</v>
      </c>
      <c r="D329" s="5" t="s">
        <v>289</v>
      </c>
      <c r="E329" s="25">
        <f>19+19+39+39.246+289.28258+68</f>
        <v>473.52858000000003</v>
      </c>
      <c r="F329" s="25">
        <v>473.52858</v>
      </c>
      <c r="G329" s="41">
        <f t="shared" si="4"/>
        <v>99.99999999999999</v>
      </c>
    </row>
    <row r="330" spans="1:7" ht="75">
      <c r="A330" s="10" t="s">
        <v>397</v>
      </c>
      <c r="B330" s="5" t="s">
        <v>395</v>
      </c>
      <c r="C330" s="5" t="s">
        <v>308</v>
      </c>
      <c r="D330" s="5" t="s">
        <v>289</v>
      </c>
      <c r="E330" s="25">
        <f>70-10.029-9-10-9</f>
        <v>31.971000000000004</v>
      </c>
      <c r="F330" s="25">
        <v>31.971</v>
      </c>
      <c r="G330" s="41">
        <f t="shared" si="4"/>
        <v>99.99999999999999</v>
      </c>
    </row>
    <row r="331" spans="1:7" ht="105">
      <c r="A331" s="10" t="s">
        <v>453</v>
      </c>
      <c r="B331" s="5" t="s">
        <v>396</v>
      </c>
      <c r="C331" s="5" t="s">
        <v>307</v>
      </c>
      <c r="D331" s="5" t="s">
        <v>289</v>
      </c>
      <c r="E331" s="25">
        <f>888+527.6-19-8.971-30-289.28258-68-150.13073</f>
        <v>850.2156899999999</v>
      </c>
      <c r="F331" s="25">
        <v>850.21569</v>
      </c>
      <c r="G331" s="41">
        <f aca="true" t="shared" si="5" ref="G331:G356">F331/E331*100</f>
        <v>100.00000000000003</v>
      </c>
    </row>
    <row r="332" spans="1:7" ht="90" hidden="1">
      <c r="A332" s="10" t="s">
        <v>398</v>
      </c>
      <c r="B332" s="5" t="s">
        <v>396</v>
      </c>
      <c r="C332" s="5" t="s">
        <v>308</v>
      </c>
      <c r="D332" s="5" t="s">
        <v>289</v>
      </c>
      <c r="E332" s="25"/>
      <c r="F332" s="25"/>
      <c r="G332" s="41" t="e">
        <f t="shared" si="5"/>
        <v>#DIV/0!</v>
      </c>
    </row>
    <row r="333" spans="1:7" ht="28.5">
      <c r="A333" s="6" t="s">
        <v>401</v>
      </c>
      <c r="B333" s="7" t="s">
        <v>399</v>
      </c>
      <c r="C333" s="7" t="s">
        <v>272</v>
      </c>
      <c r="D333" s="7" t="s">
        <v>294</v>
      </c>
      <c r="E333" s="26">
        <f>SUM(E334,E336,E338)</f>
        <v>29719.227189999998</v>
      </c>
      <c r="F333" s="26">
        <f>SUM(F334,F336,F338)</f>
        <v>29416.348129999995</v>
      </c>
      <c r="G333" s="40">
        <f t="shared" si="5"/>
        <v>98.98086495296918</v>
      </c>
    </row>
    <row r="334" spans="1:7" ht="28.5">
      <c r="A334" s="6" t="s">
        <v>90</v>
      </c>
      <c r="B334" s="7" t="s">
        <v>400</v>
      </c>
      <c r="C334" s="7" t="s">
        <v>272</v>
      </c>
      <c r="D334" s="7" t="s">
        <v>294</v>
      </c>
      <c r="E334" s="26">
        <f>E335</f>
        <v>2041</v>
      </c>
      <c r="F334" s="26">
        <f>F335</f>
        <v>2020.06594</v>
      </c>
      <c r="G334" s="40">
        <f t="shared" si="5"/>
        <v>98.97432337089663</v>
      </c>
    </row>
    <row r="335" spans="1:7" ht="120">
      <c r="A335" s="4" t="s">
        <v>458</v>
      </c>
      <c r="B335" s="5" t="s">
        <v>402</v>
      </c>
      <c r="C335" s="5" t="s">
        <v>306</v>
      </c>
      <c r="D335" s="5" t="s">
        <v>258</v>
      </c>
      <c r="E335" s="25">
        <f>2131-90</f>
        <v>2041</v>
      </c>
      <c r="F335" s="25">
        <v>2020.06594</v>
      </c>
      <c r="G335" s="41">
        <f t="shared" si="5"/>
        <v>98.97432337089663</v>
      </c>
    </row>
    <row r="336" spans="1:7" ht="28.5">
      <c r="A336" s="6" t="s">
        <v>89</v>
      </c>
      <c r="B336" s="7" t="s">
        <v>403</v>
      </c>
      <c r="C336" s="7" t="s">
        <v>272</v>
      </c>
      <c r="D336" s="7" t="s">
        <v>294</v>
      </c>
      <c r="E336" s="26">
        <f>E337</f>
        <v>1929</v>
      </c>
      <c r="F336" s="26">
        <f>F337</f>
        <v>1927.02311</v>
      </c>
      <c r="G336" s="40">
        <f t="shared" si="5"/>
        <v>99.89751736651115</v>
      </c>
    </row>
    <row r="337" spans="1:7" ht="120">
      <c r="A337" s="4" t="s">
        <v>459</v>
      </c>
      <c r="B337" s="5" t="s">
        <v>404</v>
      </c>
      <c r="C337" s="5" t="s">
        <v>306</v>
      </c>
      <c r="D337" s="5" t="s">
        <v>258</v>
      </c>
      <c r="E337" s="25">
        <f>1889+40</f>
        <v>1929</v>
      </c>
      <c r="F337" s="25">
        <v>1927.02311</v>
      </c>
      <c r="G337" s="41">
        <f t="shared" si="5"/>
        <v>99.89751736651115</v>
      </c>
    </row>
    <row r="338" spans="1:7" ht="15">
      <c r="A338" s="6" t="s">
        <v>359</v>
      </c>
      <c r="B338" s="7" t="s">
        <v>131</v>
      </c>
      <c r="C338" s="7" t="s">
        <v>272</v>
      </c>
      <c r="D338" s="7" t="s">
        <v>294</v>
      </c>
      <c r="E338" s="26">
        <f>SUM(E339:E355)</f>
        <v>25749.227189999998</v>
      </c>
      <c r="F338" s="26">
        <f>SUM(F339:F355)</f>
        <v>25469.259079999996</v>
      </c>
      <c r="G338" s="40">
        <f t="shared" si="5"/>
        <v>98.91271257217097</v>
      </c>
    </row>
    <row r="339" spans="1:7" ht="105">
      <c r="A339" s="10" t="s">
        <v>360</v>
      </c>
      <c r="B339" s="21">
        <v>9990011</v>
      </c>
      <c r="C339" s="5" t="s">
        <v>306</v>
      </c>
      <c r="D339" s="5" t="s">
        <v>258</v>
      </c>
      <c r="E339" s="25">
        <f>2376+116-15+7.00367</f>
        <v>2484.00367</v>
      </c>
      <c r="F339" s="25">
        <v>2455.44047</v>
      </c>
      <c r="G339" s="41">
        <f t="shared" si="5"/>
        <v>98.85011442032209</v>
      </c>
    </row>
    <row r="340" spans="1:7" ht="105" hidden="1">
      <c r="A340" s="10" t="s">
        <v>468</v>
      </c>
      <c r="B340" s="21">
        <v>9990019</v>
      </c>
      <c r="C340" s="5" t="s">
        <v>306</v>
      </c>
      <c r="D340" s="5" t="s">
        <v>258</v>
      </c>
      <c r="E340" s="25">
        <v>0</v>
      </c>
      <c r="F340" s="25"/>
      <c r="G340" s="41" t="e">
        <f t="shared" si="5"/>
        <v>#DIV/0!</v>
      </c>
    </row>
    <row r="341" spans="1:7" ht="105">
      <c r="A341" s="10" t="s">
        <v>360</v>
      </c>
      <c r="B341" s="21">
        <v>9990011</v>
      </c>
      <c r="C341" s="5" t="s">
        <v>306</v>
      </c>
      <c r="D341" s="5" t="s">
        <v>279</v>
      </c>
      <c r="E341" s="25">
        <f>2704.9-2.4</f>
        <v>2702.5</v>
      </c>
      <c r="F341" s="25">
        <v>2490.91785</v>
      </c>
      <c r="G341" s="41">
        <f t="shared" si="5"/>
        <v>92.1708732654949</v>
      </c>
    </row>
    <row r="342" spans="1:7" ht="104.25" customHeight="1">
      <c r="A342" s="10" t="s">
        <v>577</v>
      </c>
      <c r="B342" s="21">
        <v>9990019</v>
      </c>
      <c r="C342" s="5" t="s">
        <v>306</v>
      </c>
      <c r="D342" s="5" t="s">
        <v>258</v>
      </c>
      <c r="E342" s="25">
        <v>24</v>
      </c>
      <c r="F342" s="25">
        <v>23.895</v>
      </c>
      <c r="G342" s="41">
        <f t="shared" si="5"/>
        <v>99.5625</v>
      </c>
    </row>
    <row r="343" spans="1:7" ht="60">
      <c r="A343" s="10" t="s">
        <v>362</v>
      </c>
      <c r="B343" s="21">
        <v>9990019</v>
      </c>
      <c r="C343" s="5" t="s">
        <v>307</v>
      </c>
      <c r="D343" s="5" t="s">
        <v>258</v>
      </c>
      <c r="E343" s="25">
        <f>772+40-24+37-40-167-7.00367</f>
        <v>610.99633</v>
      </c>
      <c r="F343" s="25">
        <v>610.59644</v>
      </c>
      <c r="G343" s="41">
        <f t="shared" si="5"/>
        <v>99.93455116170666</v>
      </c>
    </row>
    <row r="344" spans="1:7" ht="60">
      <c r="A344" s="10" t="s">
        <v>362</v>
      </c>
      <c r="B344" s="21">
        <v>9990019</v>
      </c>
      <c r="C344" s="5" t="s">
        <v>307</v>
      </c>
      <c r="D344" s="5" t="s">
        <v>279</v>
      </c>
      <c r="E344" s="25">
        <f>465-85+34.554-22.504</f>
        <v>392.04999999999995</v>
      </c>
      <c r="F344" s="25">
        <v>386.15313</v>
      </c>
      <c r="G344" s="41">
        <f t="shared" si="5"/>
        <v>98.49588827955618</v>
      </c>
    </row>
    <row r="345" spans="1:7" ht="45">
      <c r="A345" s="10" t="s">
        <v>363</v>
      </c>
      <c r="B345" s="5" t="s">
        <v>361</v>
      </c>
      <c r="C345" s="5" t="s">
        <v>308</v>
      </c>
      <c r="D345" s="5" t="s">
        <v>258</v>
      </c>
      <c r="E345" s="25">
        <f>15-13</f>
        <v>2</v>
      </c>
      <c r="F345" s="25">
        <v>1.73</v>
      </c>
      <c r="G345" s="41">
        <f t="shared" si="5"/>
        <v>86.5</v>
      </c>
    </row>
    <row r="346" spans="1:7" ht="45">
      <c r="A346" s="10" t="s">
        <v>363</v>
      </c>
      <c r="B346" s="5" t="s">
        <v>361</v>
      </c>
      <c r="C346" s="5" t="s">
        <v>308</v>
      </c>
      <c r="D346" s="5" t="s">
        <v>279</v>
      </c>
      <c r="E346" s="25">
        <f>10-9.65</f>
        <v>0.34999999999999964</v>
      </c>
      <c r="F346" s="25">
        <v>0.35</v>
      </c>
      <c r="G346" s="41">
        <f t="shared" si="5"/>
        <v>100.00000000000009</v>
      </c>
    </row>
    <row r="347" spans="1:7" ht="75">
      <c r="A347" s="10" t="s">
        <v>370</v>
      </c>
      <c r="B347" s="5" t="s">
        <v>369</v>
      </c>
      <c r="C347" s="5" t="s">
        <v>310</v>
      </c>
      <c r="D347" s="5" t="s">
        <v>279</v>
      </c>
      <c r="E347" s="25">
        <f>3663.3+85</f>
        <v>3748.3</v>
      </c>
      <c r="F347" s="25">
        <v>3715.149</v>
      </c>
      <c r="G347" s="41">
        <f t="shared" si="5"/>
        <v>99.11557239281808</v>
      </c>
    </row>
    <row r="348" spans="1:7" ht="60" hidden="1">
      <c r="A348" s="10" t="s">
        <v>364</v>
      </c>
      <c r="B348" s="5" t="s">
        <v>299</v>
      </c>
      <c r="C348" s="5" t="s">
        <v>308</v>
      </c>
      <c r="D348" s="5" t="s">
        <v>288</v>
      </c>
      <c r="E348" s="25">
        <f>470+9435.7-9435.7-68-402</f>
        <v>0</v>
      </c>
      <c r="F348" s="25"/>
      <c r="G348" s="41" t="e">
        <f t="shared" si="5"/>
        <v>#DIV/0!</v>
      </c>
    </row>
    <row r="349" spans="1:7" ht="45" hidden="1">
      <c r="A349" s="10" t="s">
        <v>365</v>
      </c>
      <c r="B349" s="5" t="s">
        <v>137</v>
      </c>
      <c r="C349" s="5" t="s">
        <v>308</v>
      </c>
      <c r="D349" s="5" t="s">
        <v>289</v>
      </c>
      <c r="E349" s="25"/>
      <c r="F349" s="25"/>
      <c r="G349" s="41" t="e">
        <f t="shared" si="5"/>
        <v>#DIV/0!</v>
      </c>
    </row>
    <row r="350" spans="1:7" ht="46.5" customHeight="1">
      <c r="A350" s="10" t="s">
        <v>365</v>
      </c>
      <c r="B350" s="5" t="s">
        <v>137</v>
      </c>
      <c r="C350" s="5" t="s">
        <v>308</v>
      </c>
      <c r="D350" s="5" t="s">
        <v>289</v>
      </c>
      <c r="E350" s="25">
        <v>58.03262</v>
      </c>
      <c r="F350" s="25">
        <v>58.03262</v>
      </c>
      <c r="G350" s="41">
        <f t="shared" si="5"/>
        <v>100</v>
      </c>
    </row>
    <row r="351" spans="1:7" ht="60">
      <c r="A351" s="1" t="s">
        <v>541</v>
      </c>
      <c r="B351" s="5" t="s">
        <v>366</v>
      </c>
      <c r="C351" s="5" t="s">
        <v>307</v>
      </c>
      <c r="D351" s="5" t="s">
        <v>367</v>
      </c>
      <c r="E351" s="25">
        <f>5788.504-226.30283</f>
        <v>5562.20117</v>
      </c>
      <c r="F351" s="25">
        <v>5562.20117</v>
      </c>
      <c r="G351" s="41">
        <f t="shared" si="5"/>
        <v>100</v>
      </c>
    </row>
    <row r="352" spans="1:7" ht="60">
      <c r="A352" s="1" t="s">
        <v>542</v>
      </c>
      <c r="B352" s="5" t="s">
        <v>368</v>
      </c>
      <c r="C352" s="5" t="s">
        <v>307</v>
      </c>
      <c r="D352" s="5" t="s">
        <v>367</v>
      </c>
      <c r="E352" s="25">
        <f>1209.896-111.6486</f>
        <v>1098.2474</v>
      </c>
      <c r="F352" s="25">
        <v>1098.2474</v>
      </c>
      <c r="G352" s="41">
        <f t="shared" si="5"/>
        <v>100</v>
      </c>
    </row>
    <row r="353" spans="1:7" ht="72.75" customHeight="1" hidden="1">
      <c r="A353" s="1" t="s">
        <v>58</v>
      </c>
      <c r="B353" s="5" t="s">
        <v>57</v>
      </c>
      <c r="C353" s="5" t="s">
        <v>307</v>
      </c>
      <c r="D353" s="5" t="s">
        <v>278</v>
      </c>
      <c r="E353" s="25">
        <f>2090-2090</f>
        <v>0</v>
      </c>
      <c r="F353" s="25"/>
      <c r="G353" s="41" t="e">
        <f t="shared" si="5"/>
        <v>#DIV/0!</v>
      </c>
    </row>
    <row r="354" spans="1:7" ht="91.5" customHeight="1">
      <c r="A354" s="1" t="s">
        <v>561</v>
      </c>
      <c r="B354" s="5" t="s">
        <v>39</v>
      </c>
      <c r="C354" s="5" t="s">
        <v>307</v>
      </c>
      <c r="D354" s="5" t="s">
        <v>289</v>
      </c>
      <c r="E354" s="25">
        <f>2293.6+185.6+2344.23+2053.35+601.6-8.83</f>
        <v>7469.550000000001</v>
      </c>
      <c r="F354" s="25">
        <v>7469.55</v>
      </c>
      <c r="G354" s="41">
        <f t="shared" si="5"/>
        <v>99.99999999999999</v>
      </c>
    </row>
    <row r="355" spans="1:7" ht="119.25" customHeight="1">
      <c r="A355" s="1" t="s">
        <v>562</v>
      </c>
      <c r="B355" s="5" t="s">
        <v>46</v>
      </c>
      <c r="C355" s="5" t="s">
        <v>309</v>
      </c>
      <c r="D355" s="5" t="s">
        <v>273</v>
      </c>
      <c r="E355" s="25">
        <v>1596.996</v>
      </c>
      <c r="F355" s="25">
        <v>1596.996</v>
      </c>
      <c r="G355" s="41">
        <f t="shared" si="5"/>
        <v>100</v>
      </c>
    </row>
    <row r="356" spans="1:7" ht="15">
      <c r="A356" s="13" t="s">
        <v>295</v>
      </c>
      <c r="B356" s="23" t="s">
        <v>271</v>
      </c>
      <c r="C356" s="23" t="s">
        <v>272</v>
      </c>
      <c r="D356" s="23" t="s">
        <v>294</v>
      </c>
      <c r="E356" s="26">
        <f>SUM(E10,E12,E16,E21,E27,E35,E48,E54,E68,E81,E86,E90,E105,E108,E115,E125,E129,E135,E196,E204,E260,E292)+E238+E242+E309+E325+E333+E201</f>
        <v>1923635.7531699997</v>
      </c>
      <c r="F356" s="26">
        <f>SUM(F10,F12,F16,F21,F27,F35,F48,F54,F68,F81,F86,F90,F105,F108,F115,F125,F129,F135,F196,F204,F260,F292)+F238+F242+F309+F325+F333+F201</f>
        <v>1858257.33967</v>
      </c>
      <c r="G356" s="40">
        <f t="shared" si="5"/>
        <v>96.60131012889207</v>
      </c>
    </row>
    <row r="357" spans="5:7" ht="15" hidden="1">
      <c r="E357" s="38">
        <f>1557238+15000+3179.9+3663.3+22511.86289+660+2293.6+140+142.5+1596.996+2200.5+26519.96671-1718.8+2090-1182.96+13180+1940+37130+2349.22+687.7+2597+15412-12000-1178.244-148.4+16.49-109.975+38.975-244-660+190+8232+6998.4+15000+3184.1-6593.2+500+2700+55632.84+578.4+144.6+13073.1+10000+5590.856-1209+341.4-409+81424.4+50+1024+2344.23+225+127-57.49-1023.45+2053.35+2056+4032+11264.2+1567+4123+613.9+14418-444.2-337.95143-285+140-1722-7416-330.954-14782.029+1190+670+1284.85+601.6+12435</f>
        <v>1922544.5831700005</v>
      </c>
      <c r="F357" s="34"/>
      <c r="G357" s="34"/>
    </row>
    <row r="358" spans="5:7" ht="15" hidden="1">
      <c r="E358" s="39">
        <f>E357-E356</f>
        <v>-1091.169999999227</v>
      </c>
      <c r="F358" s="34"/>
      <c r="G358" s="34"/>
    </row>
    <row r="359" spans="6:7" ht="15" hidden="1">
      <c r="F359" s="34"/>
      <c r="G359" s="34"/>
    </row>
    <row r="360" spans="1:7" ht="15" hidden="1">
      <c r="A360" s="34" t="s">
        <v>321</v>
      </c>
      <c r="E360" s="32">
        <f>SUM(E10,E12,E16,E21,E27,E35,E48,E54,E68,E81,E86,E90,E105,E108,E115,E125,E129,E135,E196,E204,E238,E242)+E260+E292+E309+E325+E201</f>
        <v>1893916.5259799997</v>
      </c>
      <c r="F360" s="34"/>
      <c r="G360" s="34"/>
    </row>
    <row r="361" spans="1:7" ht="15" hidden="1">
      <c r="A361" s="34" t="s">
        <v>133</v>
      </c>
      <c r="E361" s="30">
        <f>E360/E356*100</f>
        <v>98.45504913593828</v>
      </c>
      <c r="F361" s="34"/>
      <c r="G361" s="34"/>
    </row>
    <row r="362" spans="6:7" ht="15">
      <c r="F362" s="44"/>
      <c r="G362" s="34"/>
    </row>
    <row r="363" spans="6:7" ht="15">
      <c r="F363" s="44"/>
      <c r="G363" s="34"/>
    </row>
    <row r="364" spans="6:7" ht="15">
      <c r="F364" s="34"/>
      <c r="G364" s="34"/>
    </row>
    <row r="365" spans="6:7" ht="15">
      <c r="F365" s="34"/>
      <c r="G365" s="34"/>
    </row>
    <row r="366" spans="6:7" ht="15">
      <c r="F366" s="34"/>
      <c r="G366" s="34"/>
    </row>
  </sheetData>
  <sheetProtection/>
  <mergeCells count="11">
    <mergeCell ref="D6:D8"/>
    <mergeCell ref="B6:B8"/>
    <mergeCell ref="C6:C8"/>
    <mergeCell ref="F6:F8"/>
    <mergeCell ref="G6:G8"/>
    <mergeCell ref="A5:G5"/>
    <mergeCell ref="A1:G1"/>
    <mergeCell ref="A2:G2"/>
    <mergeCell ref="A3:G3"/>
    <mergeCell ref="E6:E8"/>
    <mergeCell ref="A6:A8"/>
  </mergeCells>
  <printOptions/>
  <pageMargins left="0.4330708661417323" right="0.31496062992125984" top="0.35433070866141736" bottom="0.4724409448818898" header="0.2755905511811024" footer="0.2755905511811024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 Елена Викторовна</cp:lastModifiedBy>
  <cp:lastPrinted>2016-03-01T11:38:24Z</cp:lastPrinted>
  <dcterms:created xsi:type="dcterms:W3CDTF">2004-11-12T07:05:15Z</dcterms:created>
  <dcterms:modified xsi:type="dcterms:W3CDTF">2016-03-02T07:45:11Z</dcterms:modified>
  <cp:category/>
  <cp:version/>
  <cp:contentType/>
  <cp:contentStatus/>
</cp:coreProperties>
</file>