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25725"/>
</workbook>
</file>

<file path=xl/calcChain.xml><?xml version="1.0" encoding="utf-8"?>
<calcChain xmlns="http://schemas.openxmlformats.org/spreadsheetml/2006/main">
  <c r="G156" i="2"/>
  <c r="G184"/>
  <c r="G183"/>
  <c r="G126"/>
  <c r="G119"/>
  <c r="G84"/>
  <c r="G74"/>
  <c r="G73"/>
  <c r="G23"/>
  <c r="G164"/>
  <c r="G941"/>
  <c r="G928"/>
  <c r="G920"/>
  <c r="G615"/>
  <c r="G189"/>
  <c r="G187"/>
  <c r="G674"/>
  <c r="G288"/>
  <c r="G785"/>
  <c r="G726"/>
  <c r="G537"/>
  <c r="G523"/>
  <c r="G519"/>
  <c r="G516"/>
  <c r="G477"/>
  <c r="G143"/>
  <c r="G141"/>
  <c r="G139"/>
  <c r="G138"/>
  <c r="G136"/>
  <c r="G135"/>
  <c r="G133"/>
  <c r="G132"/>
  <c r="G85"/>
  <c r="G93"/>
  <c r="G92"/>
  <c r="G897"/>
  <c r="G896"/>
  <c r="G857"/>
  <c r="G856"/>
  <c r="G852"/>
  <c r="G834"/>
  <c r="G813"/>
  <c r="G730"/>
  <c r="G351"/>
  <c r="G350"/>
  <c r="G285"/>
  <c r="G224"/>
  <c r="G221"/>
  <c r="G218"/>
  <c r="G214"/>
  <c r="G412"/>
  <c r="G493"/>
  <c r="G473"/>
  <c r="G745"/>
  <c r="G890"/>
  <c r="G889"/>
  <c r="G887"/>
  <c r="G886"/>
  <c r="G884"/>
  <c r="G883"/>
  <c r="G873"/>
  <c r="G872"/>
  <c r="G321"/>
  <c r="G320"/>
  <c r="G276"/>
  <c r="I829"/>
  <c r="H829"/>
  <c r="G829"/>
  <c r="G771"/>
  <c r="G569"/>
  <c r="G560"/>
  <c r="G558"/>
  <c r="G556"/>
  <c r="G426"/>
  <c r="G421"/>
  <c r="G408"/>
  <c r="G398"/>
  <c r="G396"/>
  <c r="G393"/>
  <c r="G826"/>
  <c r="G825"/>
  <c r="G817"/>
  <c r="I808"/>
  <c r="H808"/>
  <c r="G803"/>
  <c r="G808"/>
  <c r="G573"/>
  <c r="G572"/>
  <c r="G362"/>
  <c r="H329"/>
  <c r="H328"/>
  <c r="H313"/>
  <c r="G309"/>
  <c r="H266"/>
  <c r="G251"/>
  <c r="G247"/>
  <c r="G548"/>
  <c r="G521"/>
  <c r="G514"/>
  <c r="G196"/>
  <c r="I806"/>
  <c r="H806"/>
  <c r="G806"/>
  <c r="G880"/>
  <c r="G879"/>
  <c r="G869"/>
  <c r="G868"/>
  <c r="G781"/>
  <c r="G722"/>
  <c r="G427"/>
  <c r="G405"/>
  <c r="G628"/>
  <c r="G323"/>
  <c r="I95"/>
  <c r="H95"/>
  <c r="H94" s="1"/>
  <c r="G95"/>
  <c r="I94"/>
  <c r="G94"/>
  <c r="I96"/>
  <c r="H96"/>
  <c r="G96"/>
  <c r="G42"/>
  <c r="I539"/>
  <c r="H539"/>
  <c r="H538" s="1"/>
  <c r="G539"/>
  <c r="I538"/>
  <c r="G538"/>
  <c r="I540"/>
  <c r="H540"/>
  <c r="G540"/>
  <c r="I680"/>
  <c r="H680"/>
  <c r="H679" s="1"/>
  <c r="G680"/>
  <c r="I679"/>
  <c r="G679"/>
  <c r="I681"/>
  <c r="H681"/>
  <c r="G681"/>
  <c r="I931"/>
  <c r="H931"/>
  <c r="G931"/>
  <c r="I930"/>
  <c r="H930"/>
  <c r="G930"/>
  <c r="I932"/>
  <c r="H932"/>
  <c r="G932"/>
  <c r="I579"/>
  <c r="H579"/>
  <c r="H578" s="1"/>
  <c r="G579"/>
  <c r="I578"/>
  <c r="G578"/>
  <c r="I580"/>
  <c r="H580"/>
  <c r="G580"/>
  <c r="I429"/>
  <c r="H429"/>
  <c r="H428" s="1"/>
  <c r="G429"/>
  <c r="I428"/>
  <c r="G428"/>
  <c r="I430"/>
  <c r="H430"/>
  <c r="G430"/>
  <c r="I899"/>
  <c r="H899"/>
  <c r="G899"/>
  <c r="I898"/>
  <c r="H898"/>
  <c r="G898"/>
  <c r="I900"/>
  <c r="H900"/>
  <c r="G900"/>
  <c r="I859"/>
  <c r="H859"/>
  <c r="H858" s="1"/>
  <c r="G859"/>
  <c r="I858"/>
  <c r="G858"/>
  <c r="I860"/>
  <c r="H860"/>
  <c r="G860"/>
  <c r="I944"/>
  <c r="H944"/>
  <c r="H943" s="1"/>
  <c r="G944"/>
  <c r="I943"/>
  <c r="G943"/>
  <c r="I945"/>
  <c r="H945"/>
  <c r="G945"/>
  <c r="I353"/>
  <c r="H353"/>
  <c r="H352" s="1"/>
  <c r="G353"/>
  <c r="I352"/>
  <c r="G352"/>
  <c r="I354"/>
  <c r="H354"/>
  <c r="G354"/>
  <c r="I168"/>
  <c r="H168"/>
  <c r="I167"/>
  <c r="H167"/>
  <c r="I166"/>
  <c r="H166"/>
  <c r="G166"/>
  <c r="G167"/>
  <c r="G168"/>
  <c r="G274"/>
  <c r="G245"/>
  <c r="G642"/>
  <c r="G213"/>
  <c r="G565"/>
  <c r="G677"/>
  <c r="G644"/>
  <c r="G577"/>
  <c r="G576"/>
  <c r="G263"/>
  <c r="G77"/>
  <c r="G456"/>
  <c r="G648"/>
  <c r="G622"/>
  <c r="G270"/>
  <c r="G805"/>
  <c r="G625"/>
  <c r="I952"/>
  <c r="H952"/>
  <c r="I965"/>
  <c r="H965"/>
  <c r="G965"/>
  <c r="G848"/>
  <c r="G575"/>
  <c r="G568"/>
  <c r="G536"/>
  <c r="G529"/>
  <c r="G425"/>
  <c r="G418"/>
  <c r="G349"/>
  <c r="G346"/>
  <c r="G343"/>
  <c r="G150"/>
  <c r="G62"/>
  <c r="I41"/>
  <c r="H41"/>
  <c r="I40"/>
  <c r="H40"/>
  <c r="I39"/>
  <c r="H39"/>
  <c r="G41"/>
  <c r="G40" s="1"/>
  <c r="G39" s="1"/>
  <c r="I643" l="1"/>
  <c r="H643"/>
  <c r="G643"/>
  <c r="H424" l="1"/>
  <c r="I424"/>
  <c r="G424"/>
  <c r="G452" l="1"/>
  <c r="G446"/>
  <c r="G403"/>
  <c r="G389"/>
  <c r="G853" l="1"/>
  <c r="G849"/>
  <c r="G791"/>
  <c r="I624"/>
  <c r="H624"/>
  <c r="I623"/>
  <c r="H623"/>
  <c r="G624"/>
  <c r="G623" s="1"/>
  <c r="G570" l="1"/>
  <c r="I309"/>
  <c r="H309"/>
  <c r="I276"/>
  <c r="H270"/>
  <c r="G115"/>
  <c r="I465"/>
  <c r="H465"/>
  <c r="I464"/>
  <c r="H464"/>
  <c r="I463"/>
  <c r="H463"/>
  <c r="I462"/>
  <c r="H462"/>
  <c r="I461"/>
  <c r="H461"/>
  <c r="I460"/>
  <c r="H460"/>
  <c r="G465"/>
  <c r="G464" s="1"/>
  <c r="G463" s="1"/>
  <c r="G462" s="1"/>
  <c r="G461" s="1"/>
  <c r="G460" s="1"/>
  <c r="I750"/>
  <c r="H750"/>
  <c r="G750"/>
  <c r="I752"/>
  <c r="H752"/>
  <c r="G752"/>
  <c r="I754"/>
  <c r="H754"/>
  <c r="G754"/>
  <c r="I641"/>
  <c r="I640" s="1"/>
  <c r="H641"/>
  <c r="H640" s="1"/>
  <c r="G641"/>
  <c r="G640" s="1"/>
  <c r="G800"/>
  <c r="I764"/>
  <c r="H764"/>
  <c r="G764"/>
  <c r="H639"/>
  <c r="H638" s="1"/>
  <c r="H637" s="1"/>
  <c r="H636" s="1"/>
  <c r="H628"/>
  <c r="G563"/>
  <c r="G371"/>
  <c r="G365"/>
  <c r="I316"/>
  <c r="H316"/>
  <c r="G316"/>
  <c r="I114"/>
  <c r="H114"/>
  <c r="I113"/>
  <c r="H113"/>
  <c r="G114"/>
  <c r="G113" s="1"/>
  <c r="G441"/>
  <c r="G387"/>
  <c r="G198"/>
  <c r="G438"/>
  <c r="G423"/>
  <c r="I756"/>
  <c r="H756"/>
  <c r="G756"/>
  <c r="I638"/>
  <c r="I637" s="1"/>
  <c r="I636" s="1"/>
  <c r="G638"/>
  <c r="G637" s="1"/>
  <c r="G636" s="1"/>
  <c r="I314"/>
  <c r="H314"/>
  <c r="G314"/>
  <c r="G26"/>
  <c r="G496"/>
  <c r="G914"/>
  <c r="G29"/>
  <c r="G369"/>
  <c r="G234"/>
  <c r="I229"/>
  <c r="H229"/>
  <c r="G229"/>
  <c r="I913"/>
  <c r="H913"/>
  <c r="I912"/>
  <c r="H912"/>
  <c r="I911"/>
  <c r="H911"/>
  <c r="G912"/>
  <c r="G911" s="1"/>
  <c r="G913"/>
  <c r="I242" l="1"/>
  <c r="I240"/>
  <c r="G299"/>
  <c r="G383"/>
  <c r="I175"/>
  <c r="H175"/>
  <c r="I174"/>
  <c r="H174"/>
  <c r="I173"/>
  <c r="H173"/>
  <c r="I172"/>
  <c r="H172"/>
  <c r="I171"/>
  <c r="H171"/>
  <c r="I170"/>
  <c r="H170"/>
  <c r="G175"/>
  <c r="G174" s="1"/>
  <c r="G173" s="1"/>
  <c r="G172" s="1"/>
  <c r="G171" s="1"/>
  <c r="G170" s="1"/>
  <c r="G773"/>
  <c r="G718"/>
  <c r="I254"/>
  <c r="H254"/>
  <c r="G254"/>
  <c r="I256"/>
  <c r="H256"/>
  <c r="G256"/>
  <c r="G253"/>
  <c r="G242"/>
  <c r="G240"/>
  <c r="G185"/>
  <c r="G444"/>
  <c r="I656"/>
  <c r="H656"/>
  <c r="G656"/>
  <c r="I654"/>
  <c r="H654"/>
  <c r="G654"/>
  <c r="I615"/>
  <c r="H615"/>
  <c r="G319"/>
  <c r="G295"/>
  <c r="H251"/>
  <c r="H242"/>
  <c r="I58"/>
  <c r="H58"/>
  <c r="I57"/>
  <c r="H57"/>
  <c r="G58"/>
  <c r="G57" s="1"/>
  <c r="I666"/>
  <c r="H666"/>
  <c r="G666"/>
  <c r="I662"/>
  <c r="H662"/>
  <c r="G662"/>
  <c r="I438"/>
  <c r="I488"/>
  <c r="H488"/>
  <c r="I487"/>
  <c r="H487"/>
  <c r="I486"/>
  <c r="H486"/>
  <c r="G488"/>
  <c r="G487" s="1"/>
  <c r="G486" s="1"/>
  <c r="I411" l="1"/>
  <c r="H411"/>
  <c r="I410"/>
  <c r="H410"/>
  <c r="I409"/>
  <c r="H409"/>
  <c r="G411"/>
  <c r="G410" s="1"/>
  <c r="G409" s="1"/>
  <c r="I574"/>
  <c r="H574"/>
  <c r="G574"/>
  <c r="I298"/>
  <c r="H298"/>
  <c r="H297" s="1"/>
  <c r="H296" s="1"/>
  <c r="I297"/>
  <c r="I296" s="1"/>
  <c r="G298"/>
  <c r="G297" s="1"/>
  <c r="G296" s="1"/>
  <c r="G290"/>
  <c r="I207"/>
  <c r="H207"/>
  <c r="G207"/>
  <c r="G206"/>
  <c r="I67"/>
  <c r="H67"/>
  <c r="G67"/>
  <c r="I66"/>
  <c r="H66"/>
  <c r="G66"/>
  <c r="I65"/>
  <c r="H65"/>
  <c r="G65"/>
  <c r="G63"/>
  <c r="I76"/>
  <c r="H76"/>
  <c r="G76"/>
  <c r="I195"/>
  <c r="H195"/>
  <c r="G195"/>
  <c r="G381"/>
  <c r="G379"/>
  <c r="G588"/>
  <c r="I336"/>
  <c r="H336"/>
  <c r="G336"/>
  <c r="I294"/>
  <c r="H294"/>
  <c r="G294"/>
  <c r="I233"/>
  <c r="H233"/>
  <c r="G233"/>
  <c r="I571"/>
  <c r="H571"/>
  <c r="G571"/>
  <c r="I509"/>
  <c r="H509"/>
  <c r="G509"/>
  <c r="I502"/>
  <c r="H502"/>
  <c r="G502"/>
  <c r="G836"/>
  <c r="I231"/>
  <c r="H231"/>
  <c r="I228"/>
  <c r="H228"/>
  <c r="I227"/>
  <c r="H227"/>
  <c r="I226"/>
  <c r="H226"/>
  <c r="G231"/>
  <c r="I197"/>
  <c r="H197"/>
  <c r="H194" s="1"/>
  <c r="H193" s="1"/>
  <c r="H192" s="1"/>
  <c r="H191" s="1"/>
  <c r="I194"/>
  <c r="I193" s="1"/>
  <c r="I192" s="1"/>
  <c r="I191" s="1"/>
  <c r="G197"/>
  <c r="I292"/>
  <c r="I291" s="1"/>
  <c r="H292"/>
  <c r="H291" s="1"/>
  <c r="G292"/>
  <c r="G228" l="1"/>
  <c r="G291"/>
  <c r="G227"/>
  <c r="G226" s="1"/>
  <c r="G194"/>
  <c r="G193" s="1"/>
  <c r="G192" s="1"/>
  <c r="G191" s="1"/>
  <c r="I507"/>
  <c r="H507"/>
  <c r="I506"/>
  <c r="H506"/>
  <c r="G507"/>
  <c r="G506" s="1"/>
  <c r="I500"/>
  <c r="H500"/>
  <c r="G500"/>
  <c r="H438"/>
  <c r="H381"/>
  <c r="H379"/>
  <c r="H240"/>
  <c r="G828"/>
  <c r="G458"/>
  <c r="I668"/>
  <c r="H668"/>
  <c r="G668"/>
  <c r="I664"/>
  <c r="H664"/>
  <c r="G664"/>
  <c r="I611"/>
  <c r="H611"/>
  <c r="G611"/>
  <c r="I607"/>
  <c r="H607"/>
  <c r="G607"/>
  <c r="I533" l="1"/>
  <c r="H533"/>
  <c r="G533"/>
  <c r="I667"/>
  <c r="H667"/>
  <c r="G667"/>
  <c r="I663"/>
  <c r="H663"/>
  <c r="G663"/>
  <c r="I608"/>
  <c r="H608"/>
  <c r="G608"/>
  <c r="I658"/>
  <c r="H658"/>
  <c r="G658"/>
  <c r="I603"/>
  <c r="H603"/>
  <c r="G603"/>
  <c r="I334"/>
  <c r="H334"/>
  <c r="I333"/>
  <c r="H333"/>
  <c r="H332" s="1"/>
  <c r="I332"/>
  <c r="G334"/>
  <c r="G333" l="1"/>
  <c r="G332" s="1"/>
  <c r="G252"/>
  <c r="I786"/>
  <c r="H786"/>
  <c r="G786"/>
  <c r="I759"/>
  <c r="G759"/>
  <c r="G758" s="1"/>
  <c r="I716"/>
  <c r="G716"/>
  <c r="G348"/>
  <c r="G329"/>
  <c r="G328"/>
  <c r="G305"/>
  <c r="G284"/>
  <c r="G241"/>
  <c r="I457"/>
  <c r="H457"/>
  <c r="G457"/>
  <c r="I456"/>
  <c r="I455" s="1"/>
  <c r="H456"/>
  <c r="H653"/>
  <c r="I16"/>
  <c r="I15" s="1"/>
  <c r="I14" s="1"/>
  <c r="I13" s="1"/>
  <c r="I12" s="1"/>
  <c r="H16"/>
  <c r="H15" s="1"/>
  <c r="H14" s="1"/>
  <c r="H13" s="1"/>
  <c r="H12" s="1"/>
  <c r="G16"/>
  <c r="G15" s="1"/>
  <c r="G14" s="1"/>
  <c r="G13" s="1"/>
  <c r="G12" s="1"/>
  <c r="I22"/>
  <c r="I21" s="1"/>
  <c r="H22"/>
  <c r="H21" s="1"/>
  <c r="G22"/>
  <c r="G21" s="1"/>
  <c r="I25"/>
  <c r="H25"/>
  <c r="G25"/>
  <c r="I28"/>
  <c r="H28"/>
  <c r="G28"/>
  <c r="I34"/>
  <c r="H34"/>
  <c r="I33"/>
  <c r="H33"/>
  <c r="G34"/>
  <c r="G33" s="1"/>
  <c r="I37"/>
  <c r="H37"/>
  <c r="I36"/>
  <c r="H36"/>
  <c r="G37"/>
  <c r="G36" s="1"/>
  <c r="I47"/>
  <c r="I46" s="1"/>
  <c r="I45" s="1"/>
  <c r="I44" s="1"/>
  <c r="I43" s="1"/>
  <c r="H47"/>
  <c r="H46" s="1"/>
  <c r="H45" s="1"/>
  <c r="H44" s="1"/>
  <c r="H43" s="1"/>
  <c r="G47"/>
  <c r="G46" s="1"/>
  <c r="G45" s="1"/>
  <c r="G44" s="1"/>
  <c r="G43" s="1"/>
  <c r="I53"/>
  <c r="H53"/>
  <c r="I52"/>
  <c r="H52"/>
  <c r="I51"/>
  <c r="H51"/>
  <c r="I50"/>
  <c r="H50"/>
  <c r="G53"/>
  <c r="G52" s="1"/>
  <c r="G51" s="1"/>
  <c r="G50" s="1"/>
  <c r="I61"/>
  <c r="H61"/>
  <c r="G61"/>
  <c r="I64"/>
  <c r="H64"/>
  <c r="G64"/>
  <c r="I69"/>
  <c r="H69"/>
  <c r="I68"/>
  <c r="H68"/>
  <c r="G69"/>
  <c r="G68" s="1"/>
  <c r="I72"/>
  <c r="H72"/>
  <c r="G72"/>
  <c r="I78"/>
  <c r="H78"/>
  <c r="G78"/>
  <c r="I83"/>
  <c r="I82" s="1"/>
  <c r="I81" s="1"/>
  <c r="I80" s="1"/>
  <c r="H83"/>
  <c r="H82" s="1"/>
  <c r="H81" s="1"/>
  <c r="H80" s="1"/>
  <c r="G83"/>
  <c r="G82" s="1"/>
  <c r="G81" s="1"/>
  <c r="G80" s="1"/>
  <c r="I91"/>
  <c r="I90" s="1"/>
  <c r="I89" s="1"/>
  <c r="I88" s="1"/>
  <c r="I87" s="1"/>
  <c r="H91"/>
  <c r="H90" s="1"/>
  <c r="H89" s="1"/>
  <c r="H88" s="1"/>
  <c r="H87" s="1"/>
  <c r="G91"/>
  <c r="G90" s="1"/>
  <c r="G89" s="1"/>
  <c r="G88" s="1"/>
  <c r="G87" s="1"/>
  <c r="I102"/>
  <c r="I101" s="1"/>
  <c r="I100" s="1"/>
  <c r="I99" s="1"/>
  <c r="I98" s="1"/>
  <c r="H102"/>
  <c r="H101" s="1"/>
  <c r="H100" s="1"/>
  <c r="H99" s="1"/>
  <c r="H98" s="1"/>
  <c r="G102"/>
  <c r="G101" s="1"/>
  <c r="G100" s="1"/>
  <c r="G99" s="1"/>
  <c r="G98" s="1"/>
  <c r="I109"/>
  <c r="H109"/>
  <c r="G109"/>
  <c r="I111"/>
  <c r="H111"/>
  <c r="G111"/>
  <c r="I118"/>
  <c r="H118"/>
  <c r="I117"/>
  <c r="H117"/>
  <c r="I116"/>
  <c r="H116"/>
  <c r="G118"/>
  <c r="G117" s="1"/>
  <c r="G116" s="1"/>
  <c r="I125"/>
  <c r="H125"/>
  <c r="I124"/>
  <c r="H124"/>
  <c r="I123"/>
  <c r="H123"/>
  <c r="I122"/>
  <c r="H122"/>
  <c r="I121"/>
  <c r="H121"/>
  <c r="G125"/>
  <c r="G124" s="1"/>
  <c r="G123" s="1"/>
  <c r="G122" s="1"/>
  <c r="G121" s="1"/>
  <c r="I131"/>
  <c r="H131"/>
  <c r="G131"/>
  <c r="I134"/>
  <c r="H134"/>
  <c r="G134"/>
  <c r="I137"/>
  <c r="H137"/>
  <c r="G137"/>
  <c r="I140"/>
  <c r="H140"/>
  <c r="G140"/>
  <c r="I142"/>
  <c r="H142"/>
  <c r="G142"/>
  <c r="I149"/>
  <c r="H149"/>
  <c r="I148"/>
  <c r="H148"/>
  <c r="I147"/>
  <c r="I146" s="1"/>
  <c r="I145" s="1"/>
  <c r="H147"/>
  <c r="H146" s="1"/>
  <c r="H145" s="1"/>
  <c r="G149"/>
  <c r="G148" s="1"/>
  <c r="G147" s="1"/>
  <c r="G146" s="1"/>
  <c r="G145" s="1"/>
  <c r="I155"/>
  <c r="I154" s="1"/>
  <c r="I153" s="1"/>
  <c r="I152" s="1"/>
  <c r="I151" s="1"/>
  <c r="H155"/>
  <c r="H154" s="1"/>
  <c r="H153" s="1"/>
  <c r="H152" s="1"/>
  <c r="H151" s="1"/>
  <c r="G155"/>
  <c r="G154" s="1"/>
  <c r="G153" s="1"/>
  <c r="G152" s="1"/>
  <c r="G151" s="1"/>
  <c r="I163"/>
  <c r="H163"/>
  <c r="I162"/>
  <c r="H162"/>
  <c r="I161"/>
  <c r="H161"/>
  <c r="I160"/>
  <c r="H160"/>
  <c r="I159"/>
  <c r="H159"/>
  <c r="I158"/>
  <c r="H158"/>
  <c r="I157"/>
  <c r="H157"/>
  <c r="G163"/>
  <c r="G162" s="1"/>
  <c r="G161" s="1"/>
  <c r="G160" s="1"/>
  <c r="I182"/>
  <c r="H182"/>
  <c r="G182"/>
  <c r="I186"/>
  <c r="H186"/>
  <c r="G186"/>
  <c r="I188"/>
  <c r="H188"/>
  <c r="G188"/>
  <c r="I205"/>
  <c r="I204" s="1"/>
  <c r="I203" s="1"/>
  <c r="I202" s="1"/>
  <c r="H205"/>
  <c r="H204" s="1"/>
  <c r="H203" s="1"/>
  <c r="H202" s="1"/>
  <c r="G205"/>
  <c r="I212"/>
  <c r="H212"/>
  <c r="I211"/>
  <c r="H211"/>
  <c r="G212"/>
  <c r="G211" s="1"/>
  <c r="I217"/>
  <c r="I216" s="1"/>
  <c r="H217"/>
  <c r="H216" s="1"/>
  <c r="G217"/>
  <c r="G216" s="1"/>
  <c r="I220"/>
  <c r="H220"/>
  <c r="I219"/>
  <c r="H219"/>
  <c r="G220"/>
  <c r="G219" s="1"/>
  <c r="I223"/>
  <c r="I222" s="1"/>
  <c r="H223"/>
  <c r="H222" s="1"/>
  <c r="G223"/>
  <c r="G222" s="1"/>
  <c r="I239"/>
  <c r="H239"/>
  <c r="G239"/>
  <c r="I241"/>
  <c r="H241"/>
  <c r="I244"/>
  <c r="H244"/>
  <c r="G244"/>
  <c r="I246"/>
  <c r="H246"/>
  <c r="G246"/>
  <c r="I250"/>
  <c r="H250"/>
  <c r="G250"/>
  <c r="G249" s="1"/>
  <c r="I252"/>
  <c r="H252"/>
  <c r="I262"/>
  <c r="I261" s="1"/>
  <c r="I260" s="1"/>
  <c r="I259" s="1"/>
  <c r="I258" s="1"/>
  <c r="H262"/>
  <c r="H261" s="1"/>
  <c r="H260" s="1"/>
  <c r="H259" s="1"/>
  <c r="H258" s="1"/>
  <c r="G262"/>
  <c r="G261" s="1"/>
  <c r="G260" s="1"/>
  <c r="G259" s="1"/>
  <c r="G258" s="1"/>
  <c r="I269"/>
  <c r="I268" s="1"/>
  <c r="I267" s="1"/>
  <c r="H269"/>
  <c r="H268" s="1"/>
  <c r="H267" s="1"/>
  <c r="G269"/>
  <c r="G268" s="1"/>
  <c r="G267" s="1"/>
  <c r="I273"/>
  <c r="H273"/>
  <c r="G273"/>
  <c r="I275"/>
  <c r="H275"/>
  <c r="G275"/>
  <c r="I278"/>
  <c r="H278"/>
  <c r="G278"/>
  <c r="I280"/>
  <c r="H280"/>
  <c r="G280"/>
  <c r="I282"/>
  <c r="H282"/>
  <c r="G282"/>
  <c r="I284"/>
  <c r="H284"/>
  <c r="I287"/>
  <c r="H287"/>
  <c r="G287"/>
  <c r="I289"/>
  <c r="H289"/>
  <c r="G289"/>
  <c r="I304"/>
  <c r="I303" s="1"/>
  <c r="I302" s="1"/>
  <c r="H304"/>
  <c r="H303" s="1"/>
  <c r="H302" s="1"/>
  <c r="G304"/>
  <c r="G303" s="1"/>
  <c r="G302" s="1"/>
  <c r="I308"/>
  <c r="H308"/>
  <c r="G308"/>
  <c r="I310"/>
  <c r="H310"/>
  <c r="G310"/>
  <c r="I312"/>
  <c r="H312"/>
  <c r="G312"/>
  <c r="I319"/>
  <c r="H319"/>
  <c r="I322"/>
  <c r="H322"/>
  <c r="G322"/>
  <c r="I327"/>
  <c r="H327"/>
  <c r="I330"/>
  <c r="H330"/>
  <c r="G330"/>
  <c r="I342"/>
  <c r="H342"/>
  <c r="G342"/>
  <c r="I345"/>
  <c r="H345"/>
  <c r="G345"/>
  <c r="I348"/>
  <c r="H348"/>
  <c r="I361"/>
  <c r="I360" s="1"/>
  <c r="H361"/>
  <c r="H360" s="1"/>
  <c r="G361"/>
  <c r="G360" s="1"/>
  <c r="I364"/>
  <c r="H364"/>
  <c r="G364"/>
  <c r="I366"/>
  <c r="H366"/>
  <c r="G366"/>
  <c r="I368"/>
  <c r="H368"/>
  <c r="G368"/>
  <c r="I370"/>
  <c r="H370"/>
  <c r="G370"/>
  <c r="I378"/>
  <c r="H378"/>
  <c r="G378"/>
  <c r="I380"/>
  <c r="H380"/>
  <c r="G380"/>
  <c r="I382"/>
  <c r="H382"/>
  <c r="G382"/>
  <c r="I386"/>
  <c r="H386"/>
  <c r="G386"/>
  <c r="I388"/>
  <c r="H388"/>
  <c r="G388"/>
  <c r="I392"/>
  <c r="I391" s="1"/>
  <c r="H392"/>
  <c r="H391" s="1"/>
  <c r="G392"/>
  <c r="G391" s="1"/>
  <c r="I395"/>
  <c r="H395"/>
  <c r="G395"/>
  <c r="I397"/>
  <c r="H397"/>
  <c r="G397"/>
  <c r="I400"/>
  <c r="H400"/>
  <c r="G400"/>
  <c r="I402"/>
  <c r="H402"/>
  <c r="G402"/>
  <c r="I404"/>
  <c r="H404"/>
  <c r="G404"/>
  <c r="I407"/>
  <c r="H407"/>
  <c r="I406"/>
  <c r="H406"/>
  <c r="G407"/>
  <c r="G406" s="1"/>
  <c r="I417"/>
  <c r="H417"/>
  <c r="G417"/>
  <c r="I420"/>
  <c r="H420"/>
  <c r="G420"/>
  <c r="I422"/>
  <c r="H422"/>
  <c r="G422"/>
  <c r="I437"/>
  <c r="I436" s="1"/>
  <c r="H437"/>
  <c r="H436" s="1"/>
  <c r="G437"/>
  <c r="G436" s="1"/>
  <c r="I440"/>
  <c r="I439" s="1"/>
  <c r="H440"/>
  <c r="H439" s="1"/>
  <c r="G440"/>
  <c r="G439" s="1"/>
  <c r="I443"/>
  <c r="H443"/>
  <c r="G443"/>
  <c r="I445"/>
  <c r="H445"/>
  <c r="G445"/>
  <c r="I451"/>
  <c r="H451"/>
  <c r="I450"/>
  <c r="H450"/>
  <c r="I449"/>
  <c r="H449"/>
  <c r="G451"/>
  <c r="G450" s="1"/>
  <c r="G449" s="1"/>
  <c r="H455"/>
  <c r="H454" s="1"/>
  <c r="H453" s="1"/>
  <c r="H448" s="1"/>
  <c r="H447" s="1"/>
  <c r="G455"/>
  <c r="G454" s="1"/>
  <c r="G453" s="1"/>
  <c r="I472"/>
  <c r="H472"/>
  <c r="I471"/>
  <c r="H471"/>
  <c r="I470"/>
  <c r="H470"/>
  <c r="G472"/>
  <c r="G471" s="1"/>
  <c r="G470" s="1"/>
  <c r="I476"/>
  <c r="I475" s="1"/>
  <c r="I474" s="1"/>
  <c r="H476"/>
  <c r="H475" s="1"/>
  <c r="H474" s="1"/>
  <c r="G476"/>
  <c r="G475" s="1"/>
  <c r="G474" s="1"/>
  <c r="I483"/>
  <c r="H483"/>
  <c r="I482"/>
  <c r="H482"/>
  <c r="I481"/>
  <c r="H481"/>
  <c r="I480"/>
  <c r="H480"/>
  <c r="G483"/>
  <c r="G482" s="1"/>
  <c r="G481" s="1"/>
  <c r="G480" s="1"/>
  <c r="I492"/>
  <c r="I491" s="1"/>
  <c r="H492"/>
  <c r="H491" s="1"/>
  <c r="G492"/>
  <c r="G491" s="1"/>
  <c r="I495"/>
  <c r="H495"/>
  <c r="G495"/>
  <c r="I497"/>
  <c r="H497"/>
  <c r="G497"/>
  <c r="I504"/>
  <c r="I499" s="1"/>
  <c r="H504"/>
  <c r="H499" s="1"/>
  <c r="G504"/>
  <c r="G499" s="1"/>
  <c r="I513"/>
  <c r="H513"/>
  <c r="G513"/>
  <c r="I515"/>
  <c r="H515"/>
  <c r="G515"/>
  <c r="I518"/>
  <c r="H518"/>
  <c r="G518"/>
  <c r="I520"/>
  <c r="H520"/>
  <c r="G520"/>
  <c r="I522"/>
  <c r="H522"/>
  <c r="G522"/>
  <c r="I528"/>
  <c r="H528"/>
  <c r="G528"/>
  <c r="I531"/>
  <c r="H531"/>
  <c r="G531"/>
  <c r="I535"/>
  <c r="H535"/>
  <c r="G535"/>
  <c r="I547"/>
  <c r="H547"/>
  <c r="I546"/>
  <c r="H546"/>
  <c r="I545"/>
  <c r="I544" s="1"/>
  <c r="I543" s="1"/>
  <c r="I542" s="1"/>
  <c r="H545"/>
  <c r="H544" s="1"/>
  <c r="H543" s="1"/>
  <c r="H542" s="1"/>
  <c r="G547"/>
  <c r="G546" s="1"/>
  <c r="G545" s="1"/>
  <c r="G544" s="1"/>
  <c r="G543" s="1"/>
  <c r="G542" s="1"/>
  <c r="I555"/>
  <c r="H555"/>
  <c r="G555"/>
  <c r="I557"/>
  <c r="H557"/>
  <c r="G557"/>
  <c r="I559"/>
  <c r="H559"/>
  <c r="G559"/>
  <c r="I562"/>
  <c r="H562"/>
  <c r="G562"/>
  <c r="I564"/>
  <c r="H564"/>
  <c r="G564"/>
  <c r="I567"/>
  <c r="I566" s="1"/>
  <c r="H567"/>
  <c r="H566" s="1"/>
  <c r="G567"/>
  <c r="G566" s="1"/>
  <c r="I587"/>
  <c r="H587"/>
  <c r="I586"/>
  <c r="H586"/>
  <c r="I585"/>
  <c r="H585"/>
  <c r="I584"/>
  <c r="H584"/>
  <c r="I583"/>
  <c r="H583"/>
  <c r="I582"/>
  <c r="H582"/>
  <c r="G587"/>
  <c r="G586" s="1"/>
  <c r="G585" s="1"/>
  <c r="G584" s="1"/>
  <c r="G583" s="1"/>
  <c r="G582" s="1"/>
  <c r="I595"/>
  <c r="H595"/>
  <c r="I594"/>
  <c r="H594"/>
  <c r="I593"/>
  <c r="H593"/>
  <c r="I592"/>
  <c r="H592"/>
  <c r="I591"/>
  <c r="H591"/>
  <c r="I590"/>
  <c r="H590"/>
  <c r="G595"/>
  <c r="G594" s="1"/>
  <c r="G593" s="1"/>
  <c r="G592" s="1"/>
  <c r="G591" s="1"/>
  <c r="G590" s="1"/>
  <c r="I602"/>
  <c r="H602"/>
  <c r="H601" s="1"/>
  <c r="H600" s="1"/>
  <c r="I601"/>
  <c r="I600" s="1"/>
  <c r="G602"/>
  <c r="G601" s="1"/>
  <c r="G600" s="1"/>
  <c r="I606"/>
  <c r="H606"/>
  <c r="G606"/>
  <c r="I610"/>
  <c r="H610"/>
  <c r="G610"/>
  <c r="I614"/>
  <c r="I613" s="1"/>
  <c r="H614"/>
  <c r="H613" s="1"/>
  <c r="G614"/>
  <c r="G613" s="1"/>
  <c r="I617"/>
  <c r="H617"/>
  <c r="G617"/>
  <c r="I619"/>
  <c r="H619"/>
  <c r="G619"/>
  <c r="I621"/>
  <c r="H621"/>
  <c r="G621"/>
  <c r="I627"/>
  <c r="H627"/>
  <c r="H626" s="1"/>
  <c r="I626"/>
  <c r="G627"/>
  <c r="G626" s="1"/>
  <c r="I632"/>
  <c r="H632"/>
  <c r="I631"/>
  <c r="H631"/>
  <c r="I630"/>
  <c r="H630"/>
  <c r="I629"/>
  <c r="H629"/>
  <c r="G632"/>
  <c r="G631" s="1"/>
  <c r="G630" s="1"/>
  <c r="G629" s="1"/>
  <c r="I647"/>
  <c r="I646" s="1"/>
  <c r="I645" s="1"/>
  <c r="I635" s="1"/>
  <c r="I634" s="1"/>
  <c r="H647"/>
  <c r="H646" s="1"/>
  <c r="H645" s="1"/>
  <c r="G647"/>
  <c r="G646" s="1"/>
  <c r="G645" s="1"/>
  <c r="I653"/>
  <c r="G653"/>
  <c r="I655"/>
  <c r="H655"/>
  <c r="G655"/>
  <c r="I657"/>
  <c r="H657"/>
  <c r="G657"/>
  <c r="I661"/>
  <c r="H661"/>
  <c r="G661"/>
  <c r="I665"/>
  <c r="H665"/>
  <c r="G665"/>
  <c r="I673"/>
  <c r="H673"/>
  <c r="G673"/>
  <c r="I676"/>
  <c r="H676"/>
  <c r="G676"/>
  <c r="I689"/>
  <c r="H689"/>
  <c r="G689"/>
  <c r="I691"/>
  <c r="H691"/>
  <c r="G691"/>
  <c r="I696"/>
  <c r="H696"/>
  <c r="G696"/>
  <c r="I698"/>
  <c r="H698"/>
  <c r="G698"/>
  <c r="I702"/>
  <c r="H702"/>
  <c r="I701"/>
  <c r="H701"/>
  <c r="I700"/>
  <c r="H700"/>
  <c r="G702"/>
  <c r="G701" s="1"/>
  <c r="G700" s="1"/>
  <c r="I709"/>
  <c r="H709"/>
  <c r="G709"/>
  <c r="I711"/>
  <c r="H711"/>
  <c r="G711"/>
  <c r="I715"/>
  <c r="H715"/>
  <c r="G715"/>
  <c r="I717"/>
  <c r="H717"/>
  <c r="G717"/>
  <c r="I719"/>
  <c r="H719"/>
  <c r="G719"/>
  <c r="I721"/>
  <c r="H721"/>
  <c r="G721"/>
  <c r="I723"/>
  <c r="H723"/>
  <c r="G723"/>
  <c r="I725"/>
  <c r="H725"/>
  <c r="G725"/>
  <c r="I727"/>
  <c r="H727"/>
  <c r="G727"/>
  <c r="I729"/>
  <c r="H729"/>
  <c r="G729"/>
  <c r="I735"/>
  <c r="H735"/>
  <c r="G735"/>
  <c r="I737"/>
  <c r="H737"/>
  <c r="G737"/>
  <c r="I740"/>
  <c r="H740"/>
  <c r="I739"/>
  <c r="H739"/>
  <c r="G740"/>
  <c r="G739" s="1"/>
  <c r="I744"/>
  <c r="H744"/>
  <c r="G744"/>
  <c r="I746"/>
  <c r="H746"/>
  <c r="G746"/>
  <c r="I748"/>
  <c r="H748"/>
  <c r="G748"/>
  <c r="I758"/>
  <c r="H758"/>
  <c r="I760"/>
  <c r="H760"/>
  <c r="G760"/>
  <c r="I762"/>
  <c r="H762"/>
  <c r="G762"/>
  <c r="I768"/>
  <c r="H768"/>
  <c r="G768"/>
  <c r="I770"/>
  <c r="H770"/>
  <c r="G770"/>
  <c r="I772"/>
  <c r="H772"/>
  <c r="G772"/>
  <c r="I774"/>
  <c r="H774"/>
  <c r="G774"/>
  <c r="I776"/>
  <c r="H776"/>
  <c r="G776"/>
  <c r="I778"/>
  <c r="H778"/>
  <c r="G778"/>
  <c r="I780"/>
  <c r="H780"/>
  <c r="G780"/>
  <c r="I782"/>
  <c r="H782"/>
  <c r="G782"/>
  <c r="I784"/>
  <c r="H784"/>
  <c r="G784"/>
  <c r="I788"/>
  <c r="H788"/>
  <c r="G788"/>
  <c r="I790"/>
  <c r="H790"/>
  <c r="G790"/>
  <c r="I796"/>
  <c r="H796"/>
  <c r="I795"/>
  <c r="H795"/>
  <c r="G796"/>
  <c r="G795" s="1"/>
  <c r="I799"/>
  <c r="H799"/>
  <c r="I798"/>
  <c r="H798"/>
  <c r="G799"/>
  <c r="G798" s="1"/>
  <c r="I804"/>
  <c r="I803" s="1"/>
  <c r="I802" s="1"/>
  <c r="H804"/>
  <c r="H803" s="1"/>
  <c r="H802" s="1"/>
  <c r="G804"/>
  <c r="G802" s="1"/>
  <c r="I812"/>
  <c r="H812"/>
  <c r="G812"/>
  <c r="I814"/>
  <c r="H814"/>
  <c r="G814"/>
  <c r="I816"/>
  <c r="H816"/>
  <c r="G816"/>
  <c r="G822"/>
  <c r="I822"/>
  <c r="H822"/>
  <c r="I824"/>
  <c r="H824"/>
  <c r="G824"/>
  <c r="I827"/>
  <c r="H827"/>
  <c r="G827"/>
  <c r="I831"/>
  <c r="H831"/>
  <c r="G831"/>
  <c r="I833"/>
  <c r="H833"/>
  <c r="G833"/>
  <c r="G821" s="1"/>
  <c r="I835"/>
  <c r="H835"/>
  <c r="G835"/>
  <c r="I839"/>
  <c r="H839"/>
  <c r="G839"/>
  <c r="I841"/>
  <c r="H841"/>
  <c r="G841"/>
  <c r="I847"/>
  <c r="H847"/>
  <c r="G847"/>
  <c r="I851"/>
  <c r="H851"/>
  <c r="G851"/>
  <c r="I855"/>
  <c r="H855"/>
  <c r="G855"/>
  <c r="I867"/>
  <c r="I866" s="1"/>
  <c r="H867"/>
  <c r="H866" s="1"/>
  <c r="G867"/>
  <c r="G866" s="1"/>
  <c r="I871"/>
  <c r="H871"/>
  <c r="I870"/>
  <c r="H870"/>
  <c r="G871"/>
  <c r="G870" s="1"/>
  <c r="I878"/>
  <c r="I877" s="1"/>
  <c r="H878"/>
  <c r="H877" s="1"/>
  <c r="G878"/>
  <c r="G877" s="1"/>
  <c r="I882"/>
  <c r="H882"/>
  <c r="G882"/>
  <c r="I885"/>
  <c r="H885"/>
  <c r="G885"/>
  <c r="I888"/>
  <c r="H888"/>
  <c r="G888"/>
  <c r="I895"/>
  <c r="I894" s="1"/>
  <c r="I893" s="1"/>
  <c r="I892" s="1"/>
  <c r="I891" s="1"/>
  <c r="H895"/>
  <c r="H894" s="1"/>
  <c r="H893" s="1"/>
  <c r="H892" s="1"/>
  <c r="H891" s="1"/>
  <c r="G895"/>
  <c r="G894" s="1"/>
  <c r="G893" s="1"/>
  <c r="G892" s="1"/>
  <c r="G891" s="1"/>
  <c r="I908"/>
  <c r="H908"/>
  <c r="I907"/>
  <c r="H907"/>
  <c r="I906"/>
  <c r="I905" s="1"/>
  <c r="H906"/>
  <c r="H905" s="1"/>
  <c r="G908"/>
  <c r="G907" s="1"/>
  <c r="G906" s="1"/>
  <c r="G905" s="1"/>
  <c r="I917"/>
  <c r="H917"/>
  <c r="G917"/>
  <c r="I919"/>
  <c r="H919"/>
  <c r="G919"/>
  <c r="I921"/>
  <c r="H921"/>
  <c r="G921"/>
  <c r="I927"/>
  <c r="I926" s="1"/>
  <c r="I925" s="1"/>
  <c r="I924" s="1"/>
  <c r="I923" s="1"/>
  <c r="H927"/>
  <c r="H926" s="1"/>
  <c r="H925" s="1"/>
  <c r="H924" s="1"/>
  <c r="H923" s="1"/>
  <c r="G927"/>
  <c r="G926" s="1"/>
  <c r="G925" s="1"/>
  <c r="G924" s="1"/>
  <c r="G923" s="1"/>
  <c r="I940"/>
  <c r="I939" s="1"/>
  <c r="I938" s="1"/>
  <c r="I937" s="1"/>
  <c r="I936" s="1"/>
  <c r="H940"/>
  <c r="H939" s="1"/>
  <c r="H938" s="1"/>
  <c r="H937" s="1"/>
  <c r="H936" s="1"/>
  <c r="G940"/>
  <c r="G939" s="1"/>
  <c r="G938" s="1"/>
  <c r="G937" s="1"/>
  <c r="G936" s="1"/>
  <c r="I951"/>
  <c r="H951"/>
  <c r="H950" s="1"/>
  <c r="H949" s="1"/>
  <c r="H948" s="1"/>
  <c r="H947" s="1"/>
  <c r="I950"/>
  <c r="I949" s="1"/>
  <c r="I948" s="1"/>
  <c r="I947" s="1"/>
  <c r="G951"/>
  <c r="G950" s="1"/>
  <c r="G949" s="1"/>
  <c r="G948" s="1"/>
  <c r="G947" s="1"/>
  <c r="I957"/>
  <c r="H957"/>
  <c r="I956"/>
  <c r="H956"/>
  <c r="I955"/>
  <c r="H955"/>
  <c r="H954" s="1"/>
  <c r="H953" s="1"/>
  <c r="I954"/>
  <c r="I953" s="1"/>
  <c r="G957"/>
  <c r="G956" s="1"/>
  <c r="G955" s="1"/>
  <c r="G954" s="1"/>
  <c r="G953" s="1"/>
  <c r="I964"/>
  <c r="I963" s="1"/>
  <c r="I962" s="1"/>
  <c r="I961" s="1"/>
  <c r="I960" s="1"/>
  <c r="I959" s="1"/>
  <c r="H964"/>
  <c r="H963" s="1"/>
  <c r="H962" s="1"/>
  <c r="H961" s="1"/>
  <c r="H960" s="1"/>
  <c r="H959" s="1"/>
  <c r="G964"/>
  <c r="G963" s="1"/>
  <c r="G962" s="1"/>
  <c r="G961" s="1"/>
  <c r="G960" s="1"/>
  <c r="G959" s="1"/>
  <c r="G159" l="1"/>
  <c r="G158" s="1"/>
  <c r="G157" s="1"/>
  <c r="G635"/>
  <c r="G634" s="1"/>
  <c r="I249"/>
  <c r="G743"/>
  <c r="G307"/>
  <c r="H635"/>
  <c r="H634" s="1"/>
  <c r="H272"/>
  <c r="G327"/>
  <c r="G204"/>
  <c r="G203" s="1"/>
  <c r="G202" s="1"/>
  <c r="G71"/>
  <c r="H60"/>
  <c r="I454"/>
  <c r="I453" s="1"/>
  <c r="I448" s="1"/>
  <c r="I447" s="1"/>
  <c r="G916"/>
  <c r="G915" s="1"/>
  <c r="G910" s="1"/>
  <c r="G794"/>
  <c r="G793" s="1"/>
  <c r="G734"/>
  <c r="G733" s="1"/>
  <c r="I734"/>
  <c r="I733" s="1"/>
  <c r="H734"/>
  <c r="H733" s="1"/>
  <c r="G708"/>
  <c r="G707" s="1"/>
  <c r="H708"/>
  <c r="H707" s="1"/>
  <c r="I660"/>
  <c r="I659" s="1"/>
  <c r="I307"/>
  <c r="H865"/>
  <c r="H864" s="1"/>
  <c r="H863" s="1"/>
  <c r="G838"/>
  <c r="G837" s="1"/>
  <c r="I838"/>
  <c r="I837" s="1"/>
  <c r="G811"/>
  <c r="G810" s="1"/>
  <c r="G801" s="1"/>
  <c r="G695"/>
  <c r="G694" s="1"/>
  <c r="G693" s="1"/>
  <c r="I695"/>
  <c r="I694" s="1"/>
  <c r="I693" s="1"/>
  <c r="H695"/>
  <c r="H694" s="1"/>
  <c r="H693" s="1"/>
  <c r="G672"/>
  <c r="G671" s="1"/>
  <c r="G670" s="1"/>
  <c r="G669" s="1"/>
  <c r="H672"/>
  <c r="H671" s="1"/>
  <c r="H670" s="1"/>
  <c r="H669" s="1"/>
  <c r="H616"/>
  <c r="H612" s="1"/>
  <c r="G554"/>
  <c r="I554"/>
  <c r="H512"/>
  <c r="G512"/>
  <c r="G394"/>
  <c r="I394"/>
  <c r="H394"/>
  <c r="I385"/>
  <c r="I384" s="1"/>
  <c r="G286"/>
  <c r="I286"/>
  <c r="G243"/>
  <c r="I243"/>
  <c r="G24"/>
  <c r="H935"/>
  <c r="H934" s="1"/>
  <c r="H916"/>
  <c r="H915" s="1"/>
  <c r="H910" s="1"/>
  <c r="H904" s="1"/>
  <c r="H903" s="1"/>
  <c r="H902" s="1"/>
  <c r="H881"/>
  <c r="H876" s="1"/>
  <c r="H875" s="1"/>
  <c r="H874" s="1"/>
  <c r="H862" s="1"/>
  <c r="G846"/>
  <c r="G845" s="1"/>
  <c r="G844" s="1"/>
  <c r="G843" s="1"/>
  <c r="I846"/>
  <c r="I845" s="1"/>
  <c r="I844" s="1"/>
  <c r="I843" s="1"/>
  <c r="I821"/>
  <c r="I820" s="1"/>
  <c r="H821"/>
  <c r="H820" s="1"/>
  <c r="H811"/>
  <c r="H810" s="1"/>
  <c r="H801" s="1"/>
  <c r="I794"/>
  <c r="I793" s="1"/>
  <c r="H767"/>
  <c r="H766" s="1"/>
  <c r="H714"/>
  <c r="H713" s="1"/>
  <c r="G616"/>
  <c r="G612" s="1"/>
  <c r="I616"/>
  <c r="I612" s="1"/>
  <c r="H554"/>
  <c r="I512"/>
  <c r="H416"/>
  <c r="H415" s="1"/>
  <c r="H414" s="1"/>
  <c r="H413" s="1"/>
  <c r="G363"/>
  <c r="G359" s="1"/>
  <c r="G358" s="1"/>
  <c r="G357" s="1"/>
  <c r="G356" s="1"/>
  <c r="I363"/>
  <c r="H363"/>
  <c r="H359" s="1"/>
  <c r="H358" s="1"/>
  <c r="H357" s="1"/>
  <c r="H356" s="1"/>
  <c r="H341"/>
  <c r="H340" s="1"/>
  <c r="H339" s="1"/>
  <c r="H338" s="1"/>
  <c r="H326"/>
  <c r="H325" s="1"/>
  <c r="H324" s="1"/>
  <c r="G318"/>
  <c r="I318"/>
  <c r="H318"/>
  <c r="H286"/>
  <c r="H277"/>
  <c r="I248"/>
  <c r="I238"/>
  <c r="H181"/>
  <c r="H180" s="1"/>
  <c r="H179" s="1"/>
  <c r="H178" s="1"/>
  <c r="H177" s="1"/>
  <c r="G130"/>
  <c r="G129" s="1"/>
  <c r="G128" s="1"/>
  <c r="G127" s="1"/>
  <c r="G120" s="1"/>
  <c r="H130"/>
  <c r="H129" s="1"/>
  <c r="H128" s="1"/>
  <c r="H127" s="1"/>
  <c r="H120" s="1"/>
  <c r="H108"/>
  <c r="H107" s="1"/>
  <c r="H106" s="1"/>
  <c r="H105" s="1"/>
  <c r="H104" s="1"/>
  <c r="I71"/>
  <c r="H71"/>
  <c r="I32"/>
  <c r="I31" s="1"/>
  <c r="I24"/>
  <c r="I20" s="1"/>
  <c r="I19" s="1"/>
  <c r="I935"/>
  <c r="I934" s="1"/>
  <c r="I916"/>
  <c r="I915" s="1"/>
  <c r="I910" s="1"/>
  <c r="I904" s="1"/>
  <c r="I903" s="1"/>
  <c r="I902" s="1"/>
  <c r="I881"/>
  <c r="I876" s="1"/>
  <c r="I875" s="1"/>
  <c r="I874" s="1"/>
  <c r="I865"/>
  <c r="I864" s="1"/>
  <c r="I863" s="1"/>
  <c r="H846"/>
  <c r="H845" s="1"/>
  <c r="H844" s="1"/>
  <c r="H843" s="1"/>
  <c r="H838"/>
  <c r="H837" s="1"/>
  <c r="I811"/>
  <c r="I810" s="1"/>
  <c r="I801" s="1"/>
  <c r="H794"/>
  <c r="H793" s="1"/>
  <c r="I767"/>
  <c r="I766" s="1"/>
  <c r="H743"/>
  <c r="H742" s="1"/>
  <c r="I708"/>
  <c r="I707" s="1"/>
  <c r="H688"/>
  <c r="H687" s="1"/>
  <c r="H686" s="1"/>
  <c r="G688"/>
  <c r="G687" s="1"/>
  <c r="G686" s="1"/>
  <c r="I688"/>
  <c r="I687" s="1"/>
  <c r="I686" s="1"/>
  <c r="I672"/>
  <c r="I671" s="1"/>
  <c r="I670" s="1"/>
  <c r="I669" s="1"/>
  <c r="H660"/>
  <c r="H659" s="1"/>
  <c r="G652"/>
  <c r="G651" s="1"/>
  <c r="G561"/>
  <c r="I561"/>
  <c r="H561"/>
  <c r="H553" s="1"/>
  <c r="H552" s="1"/>
  <c r="H551" s="1"/>
  <c r="H550" s="1"/>
  <c r="H549" s="1"/>
  <c r="G517"/>
  <c r="I517"/>
  <c r="H517"/>
  <c r="H494"/>
  <c r="H490" s="1"/>
  <c r="G494"/>
  <c r="G490" s="1"/>
  <c r="I494"/>
  <c r="I490" s="1"/>
  <c r="H442"/>
  <c r="H435" s="1"/>
  <c r="H434" s="1"/>
  <c r="H433" s="1"/>
  <c r="H432" s="1"/>
  <c r="G442"/>
  <c r="G435" s="1"/>
  <c r="G434" s="1"/>
  <c r="G433" s="1"/>
  <c r="I442"/>
  <c r="I416"/>
  <c r="I415" s="1"/>
  <c r="I414" s="1"/>
  <c r="I413" s="1"/>
  <c r="H399"/>
  <c r="H390" s="1"/>
  <c r="G399"/>
  <c r="I399"/>
  <c r="G385"/>
  <c r="G384" s="1"/>
  <c r="H385"/>
  <c r="H384" s="1"/>
  <c r="I377"/>
  <c r="I376" s="1"/>
  <c r="I341"/>
  <c r="I340" s="1"/>
  <c r="I339" s="1"/>
  <c r="I338" s="1"/>
  <c r="I326"/>
  <c r="I325" s="1"/>
  <c r="I324" s="1"/>
  <c r="H307"/>
  <c r="I277"/>
  <c r="G272"/>
  <c r="I272"/>
  <c r="H249"/>
  <c r="H248" s="1"/>
  <c r="H243"/>
  <c r="H210"/>
  <c r="H209" s="1"/>
  <c r="H201" s="1"/>
  <c r="H200" s="1"/>
  <c r="I181"/>
  <c r="I180" s="1"/>
  <c r="I179" s="1"/>
  <c r="I178" s="1"/>
  <c r="I177" s="1"/>
  <c r="I130"/>
  <c r="I129" s="1"/>
  <c r="I128" s="1"/>
  <c r="I127" s="1"/>
  <c r="I120" s="1"/>
  <c r="G108"/>
  <c r="I108"/>
  <c r="I107" s="1"/>
  <c r="I106" s="1"/>
  <c r="I105" s="1"/>
  <c r="I104" s="1"/>
  <c r="I86"/>
  <c r="G60"/>
  <c r="I60"/>
  <c r="H32"/>
  <c r="H31" s="1"/>
  <c r="H24"/>
  <c r="H20" s="1"/>
  <c r="H19" s="1"/>
  <c r="I819"/>
  <c r="I818" s="1"/>
  <c r="H706"/>
  <c r="H705" s="1"/>
  <c r="G935"/>
  <c r="G934" s="1"/>
  <c r="G904"/>
  <c r="G903" s="1"/>
  <c r="G902" s="1"/>
  <c r="G865"/>
  <c r="G864" s="1"/>
  <c r="G863" s="1"/>
  <c r="G714"/>
  <c r="G713" s="1"/>
  <c r="I714"/>
  <c r="I713" s="1"/>
  <c r="I706" s="1"/>
  <c r="I705" s="1"/>
  <c r="H469"/>
  <c r="H468" s="1"/>
  <c r="H467" s="1"/>
  <c r="I359"/>
  <c r="I358" s="1"/>
  <c r="I357" s="1"/>
  <c r="I356" s="1"/>
  <c r="G210"/>
  <c r="G209" s="1"/>
  <c r="I210"/>
  <c r="I209" s="1"/>
  <c r="I201" s="1"/>
  <c r="I200" s="1"/>
  <c r="G144"/>
  <c r="I144"/>
  <c r="H86"/>
  <c r="G32"/>
  <c r="G31" s="1"/>
  <c r="G820"/>
  <c r="G819" s="1"/>
  <c r="G818" s="1"/>
  <c r="G767"/>
  <c r="G766" s="1"/>
  <c r="I743"/>
  <c r="I742" s="1"/>
  <c r="I469"/>
  <c r="I468" s="1"/>
  <c r="I467" s="1"/>
  <c r="H144"/>
  <c r="G660"/>
  <c r="G659" s="1"/>
  <c r="H652"/>
  <c r="H651" s="1"/>
  <c r="H605"/>
  <c r="H604" s="1"/>
  <c r="H527"/>
  <c r="H526" s="1"/>
  <c r="H525" s="1"/>
  <c r="H524" s="1"/>
  <c r="G448"/>
  <c r="G447" s="1"/>
  <c r="G416"/>
  <c r="G415" s="1"/>
  <c r="G414" s="1"/>
  <c r="G413" s="1"/>
  <c r="H377"/>
  <c r="H376" s="1"/>
  <c r="G341"/>
  <c r="G340" s="1"/>
  <c r="G339" s="1"/>
  <c r="G338" s="1"/>
  <c r="G326"/>
  <c r="G325" s="1"/>
  <c r="G324" s="1"/>
  <c r="G277"/>
  <c r="G238"/>
  <c r="H238"/>
  <c r="G86"/>
  <c r="G742"/>
  <c r="G527"/>
  <c r="G526" s="1"/>
  <c r="G525" s="1"/>
  <c r="G524" s="1"/>
  <c r="I527"/>
  <c r="I526" s="1"/>
  <c r="I525" s="1"/>
  <c r="I524" s="1"/>
  <c r="G469"/>
  <c r="G468" s="1"/>
  <c r="G467" s="1"/>
  <c r="I435"/>
  <c r="I434" s="1"/>
  <c r="I433" s="1"/>
  <c r="G181"/>
  <c r="G180" s="1"/>
  <c r="G179" s="1"/>
  <c r="G178" s="1"/>
  <c r="G177" s="1"/>
  <c r="G20"/>
  <c r="G19" s="1"/>
  <c r="G18" s="1"/>
  <c r="G881"/>
  <c r="G876" s="1"/>
  <c r="G875" s="1"/>
  <c r="G874" s="1"/>
  <c r="I605"/>
  <c r="I604" s="1"/>
  <c r="G605"/>
  <c r="G604" s="1"/>
  <c r="I652"/>
  <c r="I651" s="1"/>
  <c r="I650" s="1"/>
  <c r="I649" s="1"/>
  <c r="G377"/>
  <c r="G376" s="1"/>
  <c r="G248"/>
  <c r="G56" l="1"/>
  <c r="I599"/>
  <c r="I598" s="1"/>
  <c r="I685"/>
  <c r="I684" s="1"/>
  <c r="I237"/>
  <c r="G107"/>
  <c r="G106" s="1"/>
  <c r="G105" s="1"/>
  <c r="G104" s="1"/>
  <c r="H599"/>
  <c r="H598" s="1"/>
  <c r="G650"/>
  <c r="G649" s="1"/>
  <c r="I56"/>
  <c r="I55" s="1"/>
  <c r="I49" s="1"/>
  <c r="G390"/>
  <c r="I511"/>
  <c r="G553"/>
  <c r="G552" s="1"/>
  <c r="H56"/>
  <c r="H55" s="1"/>
  <c r="H49" s="1"/>
  <c r="G201"/>
  <c r="G200" s="1"/>
  <c r="I432"/>
  <c r="G271"/>
  <c r="G685"/>
  <c r="G684" s="1"/>
  <c r="G599"/>
  <c r="G598" s="1"/>
  <c r="G862"/>
  <c r="G237"/>
  <c r="G706"/>
  <c r="G705" s="1"/>
  <c r="G792"/>
  <c r="H511"/>
  <c r="H685"/>
  <c r="H684" s="1"/>
  <c r="I306"/>
  <c r="I301" s="1"/>
  <c r="H237"/>
  <c r="H236" s="1"/>
  <c r="H235" s="1"/>
  <c r="H225" s="1"/>
  <c r="H650"/>
  <c r="H649" s="1"/>
  <c r="H597" s="1"/>
  <c r="H589" s="1"/>
  <c r="I236"/>
  <c r="I235" s="1"/>
  <c r="I225" s="1"/>
  <c r="H792"/>
  <c r="G55"/>
  <c r="G49" s="1"/>
  <c r="I300"/>
  <c r="G375"/>
  <c r="G374" s="1"/>
  <c r="G373" s="1"/>
  <c r="I390"/>
  <c r="I375" s="1"/>
  <c r="I374" s="1"/>
  <c r="I373" s="1"/>
  <c r="I372" s="1"/>
  <c r="G511"/>
  <c r="I553"/>
  <c r="I552" s="1"/>
  <c r="I551" s="1"/>
  <c r="I550" s="1"/>
  <c r="I549" s="1"/>
  <c r="G306"/>
  <c r="G301" s="1"/>
  <c r="G300" s="1"/>
  <c r="I485"/>
  <c r="I479" s="1"/>
  <c r="I478" s="1"/>
  <c r="I459" s="1"/>
  <c r="G236"/>
  <c r="G235" s="1"/>
  <c r="G225" s="1"/>
  <c r="G732"/>
  <c r="G731" s="1"/>
  <c r="H18"/>
  <c r="I792"/>
  <c r="I862"/>
  <c r="H271"/>
  <c r="H265" s="1"/>
  <c r="H732"/>
  <c r="H731" s="1"/>
  <c r="H704" s="1"/>
  <c r="I271"/>
  <c r="I266" s="1"/>
  <c r="I265" s="1"/>
  <c r="H819"/>
  <c r="H818" s="1"/>
  <c r="G432"/>
  <c r="H485"/>
  <c r="H479" s="1"/>
  <c r="I732"/>
  <c r="I731" s="1"/>
  <c r="I18"/>
  <c r="I11" s="1"/>
  <c r="I10" s="1"/>
  <c r="H306"/>
  <c r="H301" s="1"/>
  <c r="H300" s="1"/>
  <c r="H478"/>
  <c r="H459" s="1"/>
  <c r="H375"/>
  <c r="H374" s="1"/>
  <c r="H373" s="1"/>
  <c r="H372" s="1"/>
  <c r="I597"/>
  <c r="I589" s="1"/>
  <c r="G551" l="1"/>
  <c r="G550" s="1"/>
  <c r="G549" s="1"/>
  <c r="G485"/>
  <c r="G479" s="1"/>
  <c r="G478" s="1"/>
  <c r="G459" s="1"/>
  <c r="G597"/>
  <c r="G589" s="1"/>
  <c r="H11"/>
  <c r="H10" s="1"/>
  <c r="G266"/>
  <c r="G265" s="1"/>
  <c r="G264" s="1"/>
  <c r="G190" s="1"/>
  <c r="H683"/>
  <c r="G11"/>
  <c r="G10" s="1"/>
  <c r="G704"/>
  <c r="G683" s="1"/>
  <c r="H264"/>
  <c r="H190" s="1"/>
  <c r="I704"/>
  <c r="I683" s="1"/>
  <c r="I264"/>
  <c r="I190" s="1"/>
  <c r="G372"/>
  <c r="H966" l="1"/>
  <c r="G966"/>
  <c r="I966"/>
</calcChain>
</file>

<file path=xl/sharedStrings.xml><?xml version="1.0" encoding="utf-8"?>
<sst xmlns="http://schemas.openxmlformats.org/spreadsheetml/2006/main" count="5702" uniqueCount="773">
  <si>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</si>
  <si>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</si>
  <si>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</si>
  <si>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</si>
  <si>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</si>
  <si>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</si>
  <si>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</si>
  <si>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</si>
  <si>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</si>
  <si>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2022-2024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</si>
  <si>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</si>
  <si>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</si>
  <si>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</si>
  <si>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</si>
  <si>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</si>
  <si>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</si>
  <si>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</si>
  <si>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</si>
  <si>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</si>
  <si>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</si>
  <si>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</si>
  <si>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</si>
  <si>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</si>
  <si>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</si>
  <si>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</si>
  <si>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</si>
  <si>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</si>
  <si>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</si>
  <si>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</si>
  <si>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</si>
  <si>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</si>
  <si>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2022-2024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</si>
  <si>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</si>
  <si>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</si>
  <si>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</si>
  <si>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</si>
  <si>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</si>
  <si>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</si>
  <si>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</si>
  <si>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</si>
  <si>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</si>
  <si>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</si>
  <si>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</si>
  <si>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</si>
  <si>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</si>
  <si>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</si>
  <si>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</si>
  <si>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</si>
  <si>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</si>
  <si>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</si>
  <si>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Муниципальная программы управления муниципальными финансами и муниципальным долгом округа Муром на 2022-2024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</si>
  <si>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</si>
  <si>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</si>
  <si>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</si>
  <si>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</si>
  <si>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</si>
  <si>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</si>
  <si>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</si>
  <si>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</si>
  <si>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</si>
  <si>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</si>
  <si>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</si>
  <si>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10403UT590</t>
  </si>
  <si>
    <t xml:space="preserve">                Иные бюджетные ассигнования</t>
  </si>
  <si>
    <t>800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</si>
  <si>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</si>
  <si>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</si>
  <si>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</si>
  <si>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</si>
  <si>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</si>
  <si>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</si>
  <si>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</si>
  <si>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</si>
  <si>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</si>
  <si>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</si>
  <si>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2022-2024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</si>
  <si>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</si>
  <si>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</si>
  <si>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</si>
  <si>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</si>
  <si>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</si>
  <si>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</si>
  <si>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</si>
  <si>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</si>
  <si>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</si>
  <si>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</si>
  <si>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</si>
  <si>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</si>
  <si>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</si>
  <si>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</si>
  <si>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</si>
  <si>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</si>
  <si>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</si>
  <si>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</si>
  <si>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Региональные проекты, не входящие в состав национальных проектов</t>
  </si>
  <si>
    <t>1020000000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</si>
  <si>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</si>
  <si>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1020100000</t>
  </si>
  <si>
    <t xml:space="preserve">              Обеспечение территорий документацией для осуществления градостроительной деятельности</t>
  </si>
  <si>
    <t>1020170080</t>
  </si>
  <si>
    <t>10201S0080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</si>
  <si>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</si>
  <si>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</si>
  <si>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</si>
  <si>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</si>
  <si>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</si>
  <si>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</si>
  <si>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</si>
  <si>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</si>
  <si>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</si>
  <si>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</si>
  <si>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</si>
  <si>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</si>
  <si>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</si>
  <si>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</si>
  <si>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</si>
  <si>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</si>
  <si>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</si>
  <si>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</si>
  <si>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</si>
  <si>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</si>
  <si>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</si>
  <si>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</si>
  <si>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</si>
  <si>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</si>
  <si>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</si>
  <si>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</si>
  <si>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</si>
  <si>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</si>
  <si>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</si>
  <si>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</si>
  <si>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</si>
  <si>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2022-2024 годы"</t>
  </si>
  <si>
    <t>0100000000</t>
  </si>
  <si>
    <t>0140000000</t>
  </si>
  <si>
    <t>0140100000</t>
  </si>
  <si>
    <t>0140100100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</si>
  <si>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</si>
  <si>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</si>
  <si>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</si>
  <si>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</si>
  <si>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</si>
  <si>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</si>
  <si>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</si>
  <si>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</si>
  <si>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</si>
  <si>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</si>
  <si>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</si>
  <si>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</si>
  <si>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</si>
  <si>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</si>
  <si>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</si>
  <si>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</si>
  <si>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</si>
  <si>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</si>
  <si>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</si>
  <si>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2022-2024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</si>
  <si>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</si>
  <si>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</si>
  <si>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</si>
  <si>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</si>
  <si>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</si>
  <si>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</si>
  <si>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</si>
  <si>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</si>
  <si>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</si>
  <si>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</si>
  <si>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</si>
  <si>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</si>
  <si>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</si>
  <si>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</si>
  <si>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</si>
  <si>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</si>
  <si>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</si>
  <si>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</si>
  <si>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Дорожное хозяйство (дорожные фонды)</t>
  </si>
  <si>
    <t>09</t>
  </si>
  <si>
    <t>0120000000</t>
  </si>
  <si>
    <t xml:space="preserve">            Региональный проект "Содействие развитию автомобильных дорог общего пользования местного значения"</t>
  </si>
  <si>
    <t>0120100000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</si>
  <si>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</si>
  <si>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0120172460</t>
  </si>
  <si>
    <t>01201S2460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</si>
  <si>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</si>
  <si>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</si>
  <si>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</si>
  <si>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0120270050</t>
  </si>
  <si>
    <t xml:space="preserve">                Капитальные вложения в объекты государственной (муниципальной) собственности</t>
  </si>
  <si>
    <t>400</t>
  </si>
  <si>
    <t>01202S0050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</si>
  <si>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</si>
  <si>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</si>
  <si>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  Разработка комплексной схемы организации дорожного движения в округе Муром</t>
  </si>
  <si>
    <t>0140910700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</si>
  <si>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</si>
  <si>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</si>
  <si>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</si>
  <si>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</si>
  <si>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</si>
  <si>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</si>
  <si>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</si>
  <si>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0110000000</t>
  </si>
  <si>
    <t xml:space="preserve">            Региональный проект "Чистая вода"</t>
  </si>
  <si>
    <t>011F500000</t>
  </si>
  <si>
    <t xml:space="preserve">              Строительство и реконструкция (модернизация) объектов питьевого водоснабжения</t>
  </si>
  <si>
    <t>011F552430</t>
  </si>
  <si>
    <t xml:space="preserve">            Региональный проект "Энергосбережение и повышение энергетической эффективности в энергетическом комплексе области"</t>
  </si>
  <si>
    <t>0120300000</t>
  </si>
  <si>
    <t xml:space="preserve">              Замена устаревших светильников на новые энергоэффективные, монтаж самонесущих изолированных проводов</t>
  </si>
  <si>
    <t>0120370130</t>
  </si>
  <si>
    <t xml:space="preserve">              Модернизация котельного оборудования, газификация котельных, строительство объектов коммунальной инфраструктуры</t>
  </si>
  <si>
    <t>0120371250</t>
  </si>
  <si>
    <t>01203S0130</t>
  </si>
  <si>
    <t>01203S1250</t>
  </si>
  <si>
    <t xml:space="preserve">            Региональный проект "Модернизация объектов теплоснабжения, водоснабжения, водоотведения и очистки сточных вод"</t>
  </si>
  <si>
    <t>0120500000</t>
  </si>
  <si>
    <t xml:space="preserve">              Строительство, реконструкция и модернизация систем (объектов) теплоснабжения, водоснабжения, водоотведения и очистки сточных вод</t>
  </si>
  <si>
    <t>0120571580</t>
  </si>
  <si>
    <t>01205S1580</t>
  </si>
  <si>
    <t xml:space="preserve">      Благоустройство</t>
  </si>
  <si>
    <t xml:space="preserve">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</si>
  <si>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</si>
  <si>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</si>
  <si>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</si>
  <si>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</si>
  <si>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</si>
  <si>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</si>
  <si>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</si>
  <si>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</si>
  <si>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</si>
  <si>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  Обслуживание прочих объектов благоустройства</t>
  </si>
  <si>
    <t>0140210440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</si>
  <si>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</si>
  <si>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</si>
  <si>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</si>
  <si>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</si>
  <si>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</si>
  <si>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</si>
  <si>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</si>
  <si>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</si>
  <si>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</si>
  <si>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</si>
  <si>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</si>
  <si>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Реализация программ формирования современной городской среды</t>
  </si>
  <si>
    <t>151F255550</t>
  </si>
  <si>
    <t>151F25555D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</si>
  <si>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</si>
  <si>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</si>
  <si>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</si>
  <si>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</si>
  <si>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</si>
  <si>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0140120240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</si>
  <si>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</si>
  <si>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</si>
  <si>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</si>
  <si>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</si>
  <si>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</si>
  <si>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</si>
  <si>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</si>
  <si>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0140870150</t>
  </si>
  <si>
    <t xml:space="preserve">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</si>
  <si>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</si>
  <si>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</si>
  <si>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</si>
  <si>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</si>
  <si>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2022-2024 годах"</t>
  </si>
  <si>
    <t>0700000000</t>
  </si>
  <si>
    <t>0710000000</t>
  </si>
  <si>
    <t xml:space="preserve">            Региональный проект "Обеспечение устойчивого сокращения непригодного для проживания жилищного фонда"</t>
  </si>
  <si>
    <t>071F300000</t>
  </si>
  <si>
    <t xml:space="preserve">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</si>
  <si>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</si>
  <si>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        Обеспечение устойчивого сокращения непригодного для проживания жилищного фонда</t>
  </si>
  <si>
    <t>071F367484</t>
  </si>
  <si>
    <t>071F36748S</t>
  </si>
  <si>
    <t>0720000000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</si>
  <si>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</si>
  <si>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</si>
  <si>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</si>
  <si>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</si>
  <si>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07201S0090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</si>
  <si>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</si>
  <si>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</si>
  <si>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</si>
  <si>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</si>
  <si>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</si>
  <si>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</si>
  <si>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</si>
  <si>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</si>
  <si>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</si>
  <si>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</si>
  <si>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</si>
  <si>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</si>
  <si>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</si>
  <si>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</si>
  <si>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</si>
  <si>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</si>
  <si>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</si>
  <si>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</si>
  <si>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</si>
  <si>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</si>
  <si>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</si>
  <si>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</si>
  <si>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</si>
  <si>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</si>
  <si>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</si>
  <si>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</si>
  <si>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</si>
  <si>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</si>
  <si>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</si>
  <si>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</si>
  <si>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</si>
  <si>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 xml:space="preserve">            Региональный проект "Обеспечение жильем ветеранов, инвалидов и семей, имеющих детей-инвалидов"</t>
  </si>
  <si>
    <t>0720300000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</si>
  <si>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</si>
  <si>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0720351760</t>
  </si>
  <si>
    <t xml:space="preserve">          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</si>
  <si>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0720400000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</si>
  <si>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</si>
  <si>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0720471860</t>
  </si>
  <si>
    <t xml:space="preserve">            Региональный проект "Обеспечение мер социальной поддержки многодетных семей"</t>
  </si>
  <si>
    <t>0720500000</t>
  </si>
  <si>
    <t xml:space="preserve">              Обеспечение жильем многодетных семей</t>
  </si>
  <si>
    <t>0720570810</t>
  </si>
  <si>
    <t>07205S0810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</si>
  <si>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</si>
  <si>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</si>
  <si>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</si>
  <si>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</si>
  <si>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</si>
  <si>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</si>
  <si>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</si>
  <si>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</si>
  <si>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0740671420</t>
  </si>
  <si>
    <t xml:space="preserve">  Управление культуры администрации округа Муром</t>
  </si>
  <si>
    <t>758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</si>
  <si>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</si>
  <si>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</si>
  <si>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</si>
  <si>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2022-2024 годы</t>
  </si>
  <si>
    <t>0900000000</t>
  </si>
  <si>
    <t>0920000000</t>
  </si>
  <si>
    <t xml:space="preserve">            Региональный проект "Обеспечение условий реализации Программы"</t>
  </si>
  <si>
    <t>0920100000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</si>
  <si>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</si>
  <si>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0920170390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</si>
  <si>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</si>
  <si>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</si>
  <si>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</si>
  <si>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Расходы на обеспечение деятельности (оказание услуг)  учреждений по внешкольной работе с детьми</t>
  </si>
  <si>
    <t>09401UV590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</si>
  <si>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</si>
  <si>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</si>
  <si>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</si>
  <si>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2022-2024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</si>
  <si>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</si>
  <si>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</si>
  <si>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</si>
  <si>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</si>
  <si>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</si>
  <si>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</si>
  <si>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 xml:space="preserve">            Региональный проект "Меры по повышению престижа семьи и брака, значимости семейных ценностей и традиций"</t>
  </si>
  <si>
    <t>0920200000</t>
  </si>
  <si>
    <t xml:space="preserve">              Организация и проведение культурно-массовых мероприятий</t>
  </si>
  <si>
    <t>0920271530</t>
  </si>
  <si>
    <t>09202S1530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</si>
  <si>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</si>
  <si>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</si>
  <si>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</si>
  <si>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</si>
  <si>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</si>
  <si>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</si>
  <si>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</si>
  <si>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</si>
  <si>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</si>
  <si>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</si>
  <si>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</si>
  <si>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</si>
  <si>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 xml:space="preserve">              Организация и проведение мероприятий по антинаркотической пропаганде</t>
  </si>
  <si>
    <t>0940310120</t>
  </si>
  <si>
    <t>0940371960</t>
  </si>
  <si>
    <t xml:space="preserve">              Расходы на обеспечение деятельности (оказание услуг) учреждений 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</si>
  <si>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</si>
  <si>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</si>
  <si>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</si>
  <si>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</si>
  <si>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</si>
  <si>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</si>
  <si>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>09404AD590</t>
  </si>
  <si>
    <t>0940471960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</si>
  <si>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</si>
  <si>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</si>
  <si>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2022-2024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</si>
  <si>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</si>
  <si>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</si>
  <si>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</si>
  <si>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</si>
  <si>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</si>
  <si>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</si>
  <si>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</si>
  <si>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</si>
  <si>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</si>
  <si>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</si>
  <si>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</si>
  <si>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</si>
  <si>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</si>
  <si>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</si>
  <si>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</si>
  <si>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</si>
  <si>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</si>
  <si>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</si>
  <si>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 xml:space="preserve">        Муниципальная программа содействия развитию малого и среднего предпринимательства в округе Муром на 2022-2024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</si>
  <si>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</si>
  <si>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</si>
  <si>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</si>
  <si>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</si>
  <si>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 (оказание услуг) муниципального бюджетного учреждения «Муромский бизнес-инкубатор»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</si>
  <si>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</si>
  <si>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</si>
  <si>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</si>
  <si>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2022-2024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</si>
  <si>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</si>
  <si>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</si>
  <si>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</si>
  <si>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</si>
  <si>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</si>
  <si>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</si>
  <si>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</si>
  <si>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</si>
  <si>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0310000000</t>
  </si>
  <si>
    <t xml:space="preserve">            Региональный проект "Спорт-норма жизни "</t>
  </si>
  <si>
    <t>031P500000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</si>
  <si>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</t>
  </si>
  <si>
    <t>031P57200S</t>
  </si>
  <si>
    <t>0320000000</t>
  </si>
  <si>
    <t xml:space="preserve">            Региональный проект "Обеспечение подготовки спортивного резерва для спортивных сборных команд Владимирской области"</t>
  </si>
  <si>
    <t>0320100000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</si>
  <si>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</si>
  <si>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0320171920</t>
  </si>
  <si>
    <t>03201S1920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</si>
  <si>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</si>
  <si>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</si>
  <si>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</si>
  <si>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</si>
  <si>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</si>
  <si>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</si>
  <si>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>0340310120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</si>
  <si>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</si>
  <si>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0340310260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</si>
  <si>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</si>
  <si>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</si>
  <si>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</si>
  <si>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</si>
  <si>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</si>
  <si>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</si>
  <si>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Массовый спорт</t>
  </si>
  <si>
    <t xml:space="preserve">      Спорт высших достижений</t>
  </si>
  <si>
    <t xml:space="preserve">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</si>
  <si>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031P550810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</si>
  <si>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</si>
  <si>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031P55229S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</si>
  <si>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</si>
  <si>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>031P57170S</t>
  </si>
  <si>
    <t xml:space="preserve">              Развитие физической культуры и спорта</t>
  </si>
  <si>
    <t>0320171600</t>
  </si>
  <si>
    <t>03201S1600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</si>
  <si>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</si>
  <si>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</si>
  <si>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</si>
  <si>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</si>
  <si>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</si>
  <si>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"Развитие образования в округе Муром" на 2022-2024 годы</t>
  </si>
  <si>
    <t>0600000000</t>
  </si>
  <si>
    <t>0620000000</t>
  </si>
  <si>
    <t xml:space="preserve">            Региональный проект "Реализация мероприятий по предупреждению терроризма и экстремизма, профилактике незаконного потребления наркотических средств на территории Владимирской области"</t>
  </si>
  <si>
    <t>0620100000</t>
  </si>
  <si>
    <t xml:space="preserve">              Создание и оборудование кабинетов наркопрофилактики в образовательных организациях</t>
  </si>
  <si>
    <t>0620171690</t>
  </si>
  <si>
    <t>06201S1690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</si>
  <si>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2022-2024 годы"</t>
  </si>
  <si>
    <t>1600000000</t>
  </si>
  <si>
    <t>1620000000</t>
  </si>
  <si>
    <t>1620100000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</si>
  <si>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</si>
  <si>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1620171680</t>
  </si>
  <si>
    <t>16201S1680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</si>
  <si>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</si>
  <si>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</si>
  <si>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</si>
  <si>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</si>
  <si>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</si>
  <si>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Дошкольное образование</t>
  </si>
  <si>
    <t xml:space="preserve">            Региональный проект "Содействие развитию системы дошкольного, общего и дополнительного образования"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</si>
  <si>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</si>
  <si>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</si>
  <si>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</si>
  <si>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</si>
  <si>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</si>
  <si>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</si>
  <si>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</si>
  <si>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</si>
  <si>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</si>
  <si>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</si>
  <si>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Гранты в форме субсидий образовательным учреждениям</t>
  </si>
  <si>
    <t>0640110600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</si>
  <si>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</si>
  <si>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</si>
  <si>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</si>
  <si>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0640170590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</si>
  <si>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</si>
  <si>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0640171430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</si>
  <si>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</si>
  <si>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</si>
  <si>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>06401S1430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</si>
  <si>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</si>
  <si>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</si>
  <si>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</si>
  <si>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>0610000000</t>
  </si>
  <si>
    <t xml:space="preserve">            Региональный проект "Цифровая образовательная среда"</t>
  </si>
  <si>
    <t>061E400000</t>
  </si>
  <si>
    <t xml:space="preserve">              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</si>
  <si>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</si>
  <si>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 xml:space="preserve">              Создание центров цифрового образования детей</t>
  </si>
  <si>
    <t>061E452190</t>
  </si>
  <si>
    <t xml:space="preserve">            Региональный проект "Безопасность дорожного движения"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</si>
  <si>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</si>
  <si>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</t>
  </si>
  <si>
    <t>061R37136S</t>
  </si>
  <si>
    <t>0620253031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</si>
  <si>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</si>
  <si>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</si>
  <si>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</si>
  <si>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</si>
  <si>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</si>
  <si>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</si>
  <si>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</si>
  <si>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</si>
  <si>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</si>
  <si>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</si>
  <si>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Модернизация общеобразовательных учреждений</t>
  </si>
  <si>
    <t>0640210230</t>
  </si>
  <si>
    <t>0640210600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</si>
  <si>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</si>
  <si>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</si>
  <si>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</si>
  <si>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</si>
  <si>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</si>
  <si>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</si>
  <si>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>0640270590</t>
  </si>
  <si>
    <t>0640271430</t>
  </si>
  <si>
    <t>0640271830</t>
  </si>
  <si>
    <t>06402S1430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</si>
  <si>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</si>
  <si>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</si>
  <si>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</si>
  <si>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</si>
  <si>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</si>
  <si>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</si>
  <si>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</si>
  <si>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</si>
  <si>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</si>
  <si>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</si>
  <si>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Мероприятия по обеспечению персонифицированного финансирования дополнительного образования детей</t>
  </si>
  <si>
    <t>0640310640</t>
  </si>
  <si>
    <t xml:space="preserve">              Денежное поощрение лучших педагогов дополнительного образования</t>
  </si>
  <si>
    <t>0640320130</t>
  </si>
  <si>
    <t>06403UV590</t>
  </si>
  <si>
    <t xml:space="preserve">      Молодежная политика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</si>
  <si>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</si>
  <si>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</si>
  <si>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</si>
  <si>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</si>
  <si>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</si>
  <si>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</si>
  <si>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</si>
  <si>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</si>
  <si>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 xml:space="preserve">            Комплекс процессных мероприятий "Организация отдыха детей в каникулярное время"</t>
  </si>
  <si>
    <t>0640400000</t>
  </si>
  <si>
    <t>0640471430</t>
  </si>
  <si>
    <t>06404S1430</t>
  </si>
  <si>
    <t xml:space="preserve">      Другие вопросы в области образования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</si>
  <si>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</si>
  <si>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</si>
  <si>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</si>
  <si>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</si>
  <si>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</si>
  <si>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</si>
  <si>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</si>
  <si>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</si>
  <si>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</si>
  <si>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</si>
  <si>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</si>
  <si>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</si>
  <si>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</si>
  <si>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</si>
  <si>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</si>
  <si>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</si>
  <si>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</si>
  <si>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</si>
  <si>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</si>
  <si>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</si>
  <si>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</si>
  <si>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</si>
  <si>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</si>
  <si>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</si>
  <si>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</si>
  <si>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</si>
  <si>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2022-2024 годы</t>
  </si>
  <si>
    <t>0400000000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</si>
  <si>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</si>
  <si>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</si>
  <si>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</si>
  <si>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</si>
  <si>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</si>
  <si>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</si>
  <si>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</si>
  <si>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</si>
  <si>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</si>
  <si>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</si>
  <si>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</si>
  <si>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</si>
  <si>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</si>
  <si>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</si>
  <si>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</si>
  <si>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</si>
  <si>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</si>
  <si>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</si>
  <si>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</si>
  <si>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</si>
  <si>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</si>
  <si>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</si>
  <si>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</si>
  <si>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</si>
  <si>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</si>
  <si>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</si>
  <si>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</si>
  <si>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</si>
  <si>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</si>
  <si>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 xml:space="preserve">Всего расходов:   </t>
  </si>
  <si>
    <t>к Решению Совета народных депутатов</t>
  </si>
  <si>
    <t>Ведомственная структура расходов бюджета округа Муром на 2022 год и плановый период 2023 и 2024 годов</t>
  </si>
  <si>
    <t>тыс. рублей</t>
  </si>
  <si>
    <t>Наименование</t>
  </si>
  <si>
    <t>ГРБС</t>
  </si>
  <si>
    <t>Раздел</t>
  </si>
  <si>
    <t>Под-раздел</t>
  </si>
  <si>
    <t>Целевые статьи</t>
  </si>
  <si>
    <t>Группа видов расходов</t>
  </si>
  <si>
    <t>2022 год</t>
  </si>
  <si>
    <t>2023 год</t>
  </si>
  <si>
    <t>2024 год</t>
  </si>
  <si>
    <t>Приложение № 6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</si>
  <si>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</si>
  <si>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07406R0820</t>
  </si>
  <si>
    <t xml:space="preserve">      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</si>
  <si>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0640281160</t>
  </si>
  <si>
    <t xml:space="preserve">    Комплексы процессных мероприятий</t>
  </si>
  <si>
    <t xml:space="preserve">      Комплекс процессных мероприятий "Мероприятие по благоустройству территорий"</t>
  </si>
  <si>
    <t xml:space="preserve">        Проведение мероприятий по благоустройству территорий муниципальных образований Владимирской области</t>
  </si>
  <si>
    <t xml:space="preserve">          Предоставление субсидий бюджетным, автономным учреждениям и иным некоммерческим организациям
</t>
  </si>
  <si>
    <t>1540000000</t>
  </si>
  <si>
    <t>1540300000</t>
  </si>
  <si>
    <t>1540372050</t>
  </si>
  <si>
    <t xml:space="preserve">               Содержание объектов спортивной инфраструктуры муниципальной собственности для занятий физической культурой и спортом</t>
  </si>
  <si>
    <t>0320172000</t>
  </si>
  <si>
    <t xml:space="preserve">                  Реализация программ спортивной подготовки в соответствии с требованиями федеральных стандартов спортивной подготовки</t>
  </si>
  <si>
    <t>0320171700</t>
  </si>
  <si>
    <t>03201S1700</t>
  </si>
  <si>
    <t xml:space="preserve">               Реализация программ спортивной подготовки в соответствии с требованиями федеральных стандартов спортивной подготовки</t>
  </si>
  <si>
    <t>0940420230</t>
  </si>
  <si>
    <t xml:space="preserve">               Денежные выплаты Главы округа Муром для одаренной и талантливой молодежи в области театрального искусства</t>
  </si>
  <si>
    <t>0920375190</t>
  </si>
  <si>
    <t xml:space="preserve">          Комплектование книжных фондов муниципальных библиотек области</t>
  </si>
  <si>
    <t>0920400000</t>
  </si>
  <si>
    <t>0920470531</t>
  </si>
  <si>
    <t xml:space="preserve">          Мероприятия по укреплению материально-технической базы муниципальных учреждений культуры</t>
  </si>
  <si>
    <t xml:space="preserve">            Региональный проект "Развитие и модернизация материально-технической базы муниципальных учреждений культуры Владимирской области"</t>
  </si>
  <si>
    <t>0120600000</t>
  </si>
  <si>
    <t xml:space="preserve">    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</si>
  <si>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 xml:space="preserve">           Создание мест (площадок) для накопления твердых коммунальных отходов</t>
  </si>
  <si>
    <t xml:space="preserve">          Закупка товаров, работ и услуг для обеспечения государственных (муниципальных) нужд</t>
  </si>
  <si>
    <t>0120672160</t>
  </si>
  <si>
    <t xml:space="preserve">    Другие общегосударственные вопросы</t>
  </si>
  <si>
    <t>9990072200</t>
  </si>
  <si>
    <t xml:space="preserve">         Транспорт</t>
  </si>
  <si>
    <t>9990072190</t>
  </si>
  <si>
    <t xml:space="preserve">     Приобретение подвижного состава транспорта общего пользования (автобусы, троллейбусы)</t>
  </si>
  <si>
    <t>09203S5190</t>
  </si>
  <si>
    <t>09204S0531</t>
  </si>
  <si>
    <t xml:space="preserve">          Исполнение судебных актов</t>
  </si>
  <si>
    <t>0840310040</t>
  </si>
  <si>
    <t>99900S2190</t>
  </si>
  <si>
    <t>01206S2160</t>
  </si>
  <si>
    <t>15403S2050</t>
  </si>
  <si>
    <t xml:space="preserve">    Финансовое обеспечение мероприятий по временному социально-бытовому обустройству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</t>
  </si>
  <si>
    <t>9990056940</t>
  </si>
  <si>
    <t xml:space="preserve">   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</t>
  </si>
  <si>
    <t xml:space="preserve">            Исполнение судебных актов</t>
  </si>
  <si>
    <t>0140910720</t>
  </si>
  <si>
    <t xml:space="preserve">        Ремонт спецоборудования для оказания помощи при дорожно-транспортных происшествиях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</si>
  <si>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</si>
  <si>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</si>
  <si>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</si>
  <si>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Комплексы процессных мероприятий</t>
  </si>
  <si>
    <t xml:space="preserve">    Комплекс процессных мероприятий "Строительство, реконструкция и техническое перевооружение объектов водоснабжения и водоотведения"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</si>
  <si>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</si>
  <si>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</si>
  <si>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Иные бюджетные ассигнования</t>
  </si>
  <si>
    <t>08403UT590</t>
  </si>
  <si>
    <t>9990009501</t>
  </si>
  <si>
    <t xml:space="preserve">         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</si>
  <si>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>0910000000</t>
  </si>
  <si>
    <t>091A200000</t>
  </si>
  <si>
    <t>091A27184S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</si>
  <si>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</si>
  <si>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"Творческие люди"</t>
  </si>
  <si>
    <t xml:space="preserve">        Поддержка любительских творческих коллективов</t>
  </si>
  <si>
    <t>0140972460</t>
  </si>
  <si>
    <t>01409S2460</t>
  </si>
  <si>
    <t>Территориальная избирательная комиссия округа Муром</t>
  </si>
  <si>
    <t>Обеспечение проведения выборов и референдумов</t>
  </si>
  <si>
    <t>708</t>
  </si>
  <si>
    <t>Проведение выборов и референдумов</t>
  </si>
  <si>
    <t>9990010590</t>
  </si>
  <si>
    <t xml:space="preserve">      Иные бюджетные ассигнования</t>
  </si>
  <si>
    <t xml:space="preserve">    Региональные проекты, не входящие в состав национальных проектов</t>
  </si>
  <si>
    <t>0420000000</t>
  </si>
  <si>
    <t xml:space="preserve">      Региональный проект "Меры по созданию благоприятных условий и возможностей для проявления и развития потенциала молодежи"</t>
  </si>
  <si>
    <t>0420100000</t>
  </si>
  <si>
    <t xml:space="preserve">        Реализация проектов-победителей конкурсов в сфере молодежной политики</t>
  </si>
  <si>
    <t>0420170630</t>
  </si>
  <si>
    <t xml:space="preserve">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</si>
  <si>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</si>
  <si>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      Благоустройство территорий муниципальных образований</t>
  </si>
  <si>
    <t>0140272210</t>
  </si>
  <si>
    <t>032000000</t>
  </si>
  <si>
    <t>0320200000</t>
  </si>
  <si>
    <t>03202L7530</t>
  </si>
  <si>
    <t xml:space="preserve">  Региональные проекты, не входящие в состав национальных проектов</t>
  </si>
  <si>
    <t xml:space="preserve">    Региональный проект "Бизнес - спринт (Я выбираю спорт)"</t>
  </si>
  <si>
    <t xml:space="preserve">      Софинансирование закупки оборудования и монтажа для создания "умных" спортивных площадок</t>
  </si>
  <si>
    <t>0620271930</t>
  </si>
  <si>
    <t>Укрепление материально-технической базы муниципальных образовательных организаций</t>
  </si>
  <si>
    <t xml:space="preserve">            Региональный проект "Определение и поддержка приоритетных направлений туристической деятельности"</t>
  </si>
  <si>
    <t xml:space="preserve">              Исполнение мероприятий по созданию благоприятных условий по развитию туризма</t>
  </si>
  <si>
    <t>01402S2210</t>
  </si>
  <si>
    <t>06202S1930</t>
  </si>
  <si>
    <t>0320300000</t>
  </si>
  <si>
    <t>0320371740</t>
  </si>
  <si>
    <t xml:space="preserve">  Региональный проект "Развитие физкультурно-спортивных организаций на территории Владимирской области"</t>
  </si>
  <si>
    <t xml:space="preserve">        Развитие физической культуры и спорта</t>
  </si>
  <si>
    <t>062027148G</t>
  </si>
  <si>
    <t>062027148N</t>
  </si>
  <si>
    <t>062027148P</t>
  </si>
  <si>
    <t xml:space="preserve">       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</si>
  <si>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 xml:space="preserve">         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</si>
  <si>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 xml:space="preserve">         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</si>
  <si>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>НАЦИОНАЛЬНАЯ ЭКОНОМИКА</t>
  </si>
  <si>
    <t>Другие вопросы в области национальной экономики</t>
  </si>
  <si>
    <t>0920500000</t>
  </si>
  <si>
    <t xml:space="preserve">         Региональный проект "Определение и поддержка приоритетных направлений туристической деятельности"</t>
  </si>
  <si>
    <t>0920571990</t>
  </si>
  <si>
    <t xml:space="preserve">        Исполнение мероприятий по созданию благоприятных условий по развитию туризма</t>
  </si>
  <si>
    <t xml:space="preserve">  Комплекс процессных мероприятий "Развитие инфраструктуры физической культуры и спорта в округе Муром"</t>
  </si>
  <si>
    <t xml:space="preserve">        Строительство и реконструкция спортивных сооружений подведомственных учреждений</t>
  </si>
  <si>
    <t xml:space="preserve">          Капитальные вложения в объекты государственной (муниципальной) собственности</t>
  </si>
  <si>
    <t>0340400000</t>
  </si>
  <si>
    <t>0340440030</t>
  </si>
  <si>
    <t>03203S1740</t>
  </si>
  <si>
    <t xml:space="preserve">         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</si>
  <si>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        Поддержка организаций в сфере образования (победители регионального конкурса "Лучший загородный оздоровительный лагерь")</t>
  </si>
  <si>
    <t>062027148L</t>
  </si>
  <si>
    <t>от 27.12.2022 № 470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</si>
</sst>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#,##0.000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55">
    <xf numFmtId="0" fontId="0" fillId="0" borderId="0" xfId="0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0" fontId="11" fillId="0" borderId="1" xfId="2" applyNumberFormat="1" applyFont="1" applyFill="1" applyProtection="1"/>
    <xf numFmtId="164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165" fontId="8" fillId="0" borderId="1" xfId="2" applyNumberFormat="1" applyFont="1" applyFill="1" applyProtection="1"/>
    <xf numFmtId="49" fontId="9" fillId="0" borderId="0" xfId="0" applyNumberFormat="1" applyFont="1" applyFill="1" applyProtection="1">
      <protection locked="0"/>
    </xf>
    <xf numFmtId="49" fontId="8" fillId="0" borderId="2" xfId="4" applyNumberFormat="1" applyFont="1" applyFill="1" applyProtection="1">
      <alignment horizontal="center" vertical="center" wrapText="1"/>
    </xf>
    <xf numFmtId="49" fontId="8" fillId="0" borderId="1" xfId="2" applyNumberFormat="1" applyFont="1" applyFill="1" applyProtection="1"/>
    <xf numFmtId="166" fontId="8" fillId="0" borderId="1" xfId="2" applyNumberFormat="1" applyFont="1" applyFill="1" applyProtection="1"/>
    <xf numFmtId="165" fontId="10" fillId="0" borderId="2" xfId="5" applyNumberFormat="1" applyFont="1" applyFill="1" applyProtection="1">
      <alignment vertical="top" wrapText="1"/>
    </xf>
    <xf numFmtId="49" fontId="10" fillId="0" borderId="2" xfId="6" applyNumberFormat="1" applyFont="1" applyFill="1" applyProtection="1">
      <alignment horizontal="center" vertical="top" shrinkToFit="1"/>
    </xf>
    <xf numFmtId="165" fontId="10" fillId="0" borderId="2" xfId="6" applyNumberFormat="1" applyFont="1" applyFill="1" applyProtection="1">
      <alignment horizontal="center" vertical="top" shrinkToFit="1"/>
    </xf>
    <xf numFmtId="165" fontId="13" fillId="0" borderId="2" xfId="5" applyNumberFormat="1" applyFont="1" applyFill="1" applyProtection="1">
      <alignment vertical="top" wrapText="1"/>
    </xf>
    <xf numFmtId="49" fontId="13" fillId="0" borderId="2" xfId="6" applyNumberFormat="1" applyFont="1" applyFill="1" applyProtection="1">
      <alignment horizontal="center" vertical="top" shrinkToFit="1"/>
    </xf>
    <xf numFmtId="165" fontId="13" fillId="0" borderId="2" xfId="6" applyNumberFormat="1" applyFont="1" applyFill="1" applyProtection="1">
      <alignment horizontal="center" vertical="top" shrinkToFit="1"/>
    </xf>
    <xf numFmtId="165" fontId="7" fillId="0" borderId="2" xfId="5" applyNumberFormat="1" applyFont="1" applyFill="1" applyProtection="1">
      <alignment vertical="top" wrapText="1"/>
    </xf>
    <xf numFmtId="49" fontId="7" fillId="0" borderId="2" xfId="6" applyNumberFormat="1" applyFont="1" applyFill="1" applyProtection="1">
      <alignment horizontal="center" vertical="top" shrinkToFit="1"/>
    </xf>
    <xf numFmtId="165" fontId="7" fillId="0" borderId="2" xfId="6" applyNumberFormat="1" applyFont="1" applyFill="1" applyProtection="1">
      <alignment horizontal="center" vertical="top" shrinkToFit="1"/>
    </xf>
    <xf numFmtId="0" fontId="7" fillId="0" borderId="9" xfId="20" applyNumberFormat="1" applyFont="1" applyFill="1" applyBorder="1" applyAlignment="1" applyProtection="1">
      <alignment horizontal="left" vertical="top" wrapText="1"/>
    </xf>
    <xf numFmtId="49" fontId="7" fillId="0" borderId="10" xfId="6" applyNumberFormat="1" applyFont="1" applyFill="1" applyBorder="1" applyProtection="1">
      <alignment horizontal="center" vertical="top" shrinkToFit="1"/>
    </xf>
    <xf numFmtId="0" fontId="7" fillId="0" borderId="2" xfId="6" applyNumberFormat="1" applyFont="1" applyFill="1" applyProtection="1">
      <alignment horizontal="center" vertical="top" shrinkToFit="1"/>
    </xf>
    <xf numFmtId="1" fontId="7" fillId="0" borderId="2" xfId="6" applyNumberFormat="1" applyFont="1" applyFill="1" applyProtection="1">
      <alignment horizontal="center" vertical="top" shrinkToFit="1"/>
    </xf>
    <xf numFmtId="0" fontId="7" fillId="0" borderId="2" xfId="5" applyNumberFormat="1" applyFont="1" applyFill="1" applyProtection="1">
      <alignment vertical="top" wrapText="1"/>
    </xf>
    <xf numFmtId="165" fontId="10" fillId="0" borderId="9" xfId="20" applyNumberFormat="1" applyFont="1" applyFill="1" applyBorder="1" applyAlignment="1" applyProtection="1">
      <alignment horizontal="left" vertical="top" wrapText="1"/>
    </xf>
    <xf numFmtId="49" fontId="10" fillId="0" borderId="10" xfId="6" applyNumberFormat="1" applyFont="1" applyFill="1" applyBorder="1" applyProtection="1">
      <alignment horizontal="center" vertical="top" shrinkToFit="1"/>
    </xf>
    <xf numFmtId="165" fontId="13" fillId="0" borderId="9" xfId="20" applyNumberFormat="1" applyFont="1" applyFill="1" applyBorder="1" applyAlignment="1" applyProtection="1">
      <alignment horizontal="left" vertical="top" wrapText="1"/>
    </xf>
    <xf numFmtId="49" fontId="13" fillId="0" borderId="10" xfId="6" applyNumberFormat="1" applyFont="1" applyFill="1" applyBorder="1" applyProtection="1">
      <alignment horizontal="center" vertical="top" shrinkToFit="1"/>
    </xf>
    <xf numFmtId="165" fontId="7" fillId="0" borderId="9" xfId="20" applyNumberFormat="1" applyFont="1" applyFill="1" applyBorder="1" applyAlignment="1" applyProtection="1">
      <alignment horizontal="left" vertical="top" wrapText="1"/>
    </xf>
    <xf numFmtId="165" fontId="7" fillId="0" borderId="9" xfId="5" applyNumberFormat="1" applyFont="1" applyFill="1" applyBorder="1" applyProtection="1">
      <alignment vertical="top" wrapText="1"/>
    </xf>
    <xf numFmtId="3" fontId="7" fillId="0" borderId="2" xfId="6" applyNumberFormat="1" applyFont="1" applyFill="1" applyProtection="1">
      <alignment horizontal="center" vertical="top" shrinkToFit="1"/>
    </xf>
    <xf numFmtId="0" fontId="10" fillId="0" borderId="9" xfId="20" applyNumberFormat="1" applyFont="1" applyFill="1" applyBorder="1" applyAlignment="1" applyProtection="1">
      <alignment horizontal="left" vertical="top" wrapText="1"/>
    </xf>
    <xf numFmtId="0" fontId="13" fillId="0" borderId="9" xfId="20" applyNumberFormat="1" applyFont="1" applyFill="1" applyBorder="1" applyAlignment="1" applyProtection="1">
      <alignment horizontal="left" vertical="top" wrapText="1"/>
    </xf>
    <xf numFmtId="165" fontId="7" fillId="0" borderId="5" xfId="5" applyNumberFormat="1" applyFont="1" applyFill="1" applyBorder="1" applyProtection="1">
      <alignment vertical="top" wrapText="1"/>
    </xf>
    <xf numFmtId="49" fontId="7" fillId="0" borderId="5" xfId="6" applyNumberFormat="1" applyFont="1" applyFill="1" applyBorder="1" applyProtection="1">
      <alignment horizontal="center" vertical="top" shrinkToFit="1"/>
    </xf>
    <xf numFmtId="165" fontId="7" fillId="0" borderId="5" xfId="6" applyNumberFormat="1" applyFont="1" applyFill="1" applyBorder="1" applyProtection="1">
      <alignment horizontal="center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13" fillId="0" borderId="2" xfId="7" applyNumberFormat="1" applyFont="1" applyFill="1" applyProtection="1">
      <alignment horizontal="right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164" fontId="7" fillId="0" borderId="5" xfId="7" applyNumberFormat="1" applyFont="1" applyFill="1" applyBorder="1" applyProtection="1">
      <alignment horizontal="right" vertical="top" shrinkToFit="1"/>
    </xf>
    <xf numFmtId="164" fontId="12" fillId="0" borderId="4" xfId="10" applyNumberFormat="1" applyFont="1" applyFill="1" applyBorder="1" applyProtection="1">
      <alignment horizontal="right" vertical="top" shrinkToFi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165" fontId="8" fillId="0" borderId="1" xfId="12" applyNumberFormat="1" applyFont="1" applyFill="1" applyProtection="1">
      <alignment horizontal="left" wrapText="1"/>
    </xf>
    <xf numFmtId="165" fontId="8" fillId="0" borderId="1" xfId="12" applyNumberFormat="1" applyFont="1" applyFill="1">
      <alignment horizontal="left" wrapText="1"/>
    </xf>
    <xf numFmtId="0" fontId="9" fillId="0" borderId="0" xfId="0" applyFont="1" applyFill="1" applyAlignment="1" applyProtection="1">
      <alignment horizontal="center"/>
      <protection locked="0"/>
    </xf>
    <xf numFmtId="165" fontId="12" fillId="0" borderId="6" xfId="9" applyNumberFormat="1" applyFont="1" applyFill="1" applyBorder="1" applyAlignment="1" applyProtection="1">
      <alignment horizontal="center"/>
    </xf>
    <xf numFmtId="165" fontId="12" fillId="0" borderId="7" xfId="9" applyNumberFormat="1" applyFont="1" applyFill="1" applyBorder="1" applyAlignment="1" applyProtection="1">
      <alignment horizontal="center"/>
    </xf>
    <xf numFmtId="165" fontId="12" fillId="0" borderId="8" xfId="9" applyNumberFormat="1" applyFont="1" applyFill="1" applyBorder="1" applyAlignment="1" applyProtection="1">
      <alignment horizontal="center"/>
    </xf>
  </cellXfs>
  <cellStyles count="28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8"/>
  <sheetViews>
    <sheetView showGridLines="0" tabSelected="1" zoomScale="80" zoomScaleNormal="80" zoomScaleSheetLayoutView="100" workbookViewId="0">
      <pane ySplit="9" topLeftCell="A960" activePane="bottomLeft" state="frozen"/>
      <selection pane="bottomLeft" activeCell="H4" sqref="H4"/>
    </sheetView>
  </sheetViews>
  <sheetFormatPr defaultColWidth="8.85546875" defaultRowHeight="15" outlineLevelRow="7"/>
  <cols>
    <col min="1" max="1" width="38.85546875" style="2" customWidth="1"/>
    <col min="2" max="2" width="7.42578125" style="8" customWidth="1"/>
    <col min="3" max="3" width="6.5703125" style="2" customWidth="1"/>
    <col min="4" max="4" width="7" style="2" customWidth="1"/>
    <col min="5" max="5" width="10.42578125" style="2" customWidth="1"/>
    <col min="6" max="6" width="8.7109375" style="2" customWidth="1"/>
    <col min="7" max="9" width="12.85546875" style="2" customWidth="1"/>
    <col min="10" max="10" width="8.85546875" style="2" customWidth="1"/>
    <col min="11" max="11" width="9.140625" style="2" bestFit="1" customWidth="1"/>
    <col min="12" max="16384" width="8.85546875" style="2"/>
  </cols>
  <sheetData>
    <row r="1" spans="1:10">
      <c r="H1" s="51" t="s">
        <v>651</v>
      </c>
      <c r="I1" s="51"/>
    </row>
    <row r="2" spans="1:10">
      <c r="G2" s="51" t="s">
        <v>639</v>
      </c>
      <c r="H2" s="51"/>
      <c r="I2" s="51"/>
    </row>
    <row r="3" spans="1:10">
      <c r="H3" s="51" t="s">
        <v>772</v>
      </c>
      <c r="I3" s="51"/>
    </row>
    <row r="4" spans="1:10">
      <c r="H4" s="6"/>
      <c r="I4" s="6"/>
    </row>
    <row r="5" spans="1:10">
      <c r="H5" s="6"/>
      <c r="I5" s="6"/>
    </row>
    <row r="6" spans="1:10" ht="15.75" customHeight="1">
      <c r="A6" s="43" t="s">
        <v>640</v>
      </c>
      <c r="B6" s="44"/>
      <c r="C6" s="44"/>
      <c r="D6" s="44"/>
      <c r="E6" s="44"/>
      <c r="F6" s="44"/>
      <c r="G6" s="44"/>
      <c r="H6" s="44"/>
      <c r="I6" s="44"/>
      <c r="J6" s="1"/>
    </row>
    <row r="7" spans="1:10" ht="15.75" customHeight="1">
      <c r="A7" s="45"/>
      <c r="B7" s="46"/>
      <c r="C7" s="46"/>
      <c r="D7" s="46"/>
      <c r="E7" s="46"/>
      <c r="F7" s="46"/>
      <c r="G7" s="46"/>
      <c r="H7" s="46"/>
      <c r="I7" s="46"/>
      <c r="J7" s="1"/>
    </row>
    <row r="8" spans="1:10" ht="12" customHeight="1">
      <c r="A8" s="47" t="s">
        <v>641</v>
      </c>
      <c r="B8" s="48"/>
      <c r="C8" s="48"/>
      <c r="D8" s="48"/>
      <c r="E8" s="48"/>
      <c r="F8" s="48"/>
      <c r="G8" s="48"/>
      <c r="H8" s="48"/>
      <c r="I8" s="48"/>
      <c r="J8" s="1"/>
    </row>
    <row r="9" spans="1:10" ht="46.9" customHeight="1">
      <c r="A9" s="3" t="s">
        <v>642</v>
      </c>
      <c r="B9" s="9" t="s">
        <v>643</v>
      </c>
      <c r="C9" s="3" t="s">
        <v>644</v>
      </c>
      <c r="D9" s="3" t="s">
        <v>645</v>
      </c>
      <c r="E9" s="3" t="s">
        <v>646</v>
      </c>
      <c r="F9" s="3" t="s">
        <v>647</v>
      </c>
      <c r="G9" s="3" t="s">
        <v>648</v>
      </c>
      <c r="H9" s="3" t="s">
        <v>649</v>
      </c>
      <c r="I9" s="3" t="s">
        <v>650</v>
      </c>
      <c r="J9" s="1"/>
    </row>
    <row r="10" spans="1:10" ht="15.75">
      <c r="A10" s="12" t="s">
        <v>0</v>
      </c>
      <c r="B10" s="13" t="s">
        <v>1</v>
      </c>
      <c r="C10" s="14" t="s">
        <v>2</v>
      </c>
      <c r="D10" s="14" t="s">
        <v>2</v>
      </c>
      <c r="E10" s="14" t="s">
        <v>3</v>
      </c>
      <c r="F10" s="14" t="s">
        <v>4</v>
      </c>
      <c r="G10" s="38">
        <f>G11+G86+G104+G120+G144</f>
        <v>127725.59999999998</v>
      </c>
      <c r="H10" s="38">
        <f t="shared" ref="H10:I10" si="0">H11+H86+H104+H120+H144</f>
        <v>107601.2</v>
      </c>
      <c r="I10" s="38">
        <f t="shared" si="0"/>
        <v>107600.2</v>
      </c>
      <c r="J10" s="1"/>
    </row>
    <row r="11" spans="1:10" ht="31.5" outlineLevel="1">
      <c r="A11" s="12" t="s">
        <v>5</v>
      </c>
      <c r="B11" s="13" t="s">
        <v>1</v>
      </c>
      <c r="C11" s="14" t="s">
        <v>6</v>
      </c>
      <c r="D11" s="14" t="s">
        <v>2</v>
      </c>
      <c r="E11" s="14" t="s">
        <v>3</v>
      </c>
      <c r="F11" s="14" t="s">
        <v>4</v>
      </c>
      <c r="G11" s="38">
        <f>G12+G18+G43+G49</f>
        <v>97392.311089999988</v>
      </c>
      <c r="H11" s="38">
        <f t="shared" ref="H11:I11" si="1">H12+H18+H43+H49</f>
        <v>84862.6</v>
      </c>
      <c r="I11" s="38">
        <f t="shared" si="1"/>
        <v>84861.6</v>
      </c>
      <c r="J11" s="1"/>
    </row>
    <row r="12" spans="1:10" ht="63" outlineLevel="2">
      <c r="A12" s="15" t="s">
        <v>7</v>
      </c>
      <c r="B12" s="16" t="s">
        <v>1</v>
      </c>
      <c r="C12" s="17" t="s">
        <v>6</v>
      </c>
      <c r="D12" s="17" t="s">
        <v>8</v>
      </c>
      <c r="E12" s="17" t="s">
        <v>3</v>
      </c>
      <c r="F12" s="17" t="s">
        <v>4</v>
      </c>
      <c r="G12" s="39">
        <f>G13</f>
        <v>1772.6</v>
      </c>
      <c r="H12" s="39">
        <f t="shared" ref="H12:I15" si="2">H13</f>
        <v>1772.6</v>
      </c>
      <c r="I12" s="39">
        <f t="shared" si="2"/>
        <v>1772.6</v>
      </c>
      <c r="J12" s="1"/>
    </row>
    <row r="13" spans="1:10" ht="47.25" outlineLevel="3">
      <c r="A13" s="18" t="s">
        <v>9</v>
      </c>
      <c r="B13" s="19" t="s">
        <v>1</v>
      </c>
      <c r="C13" s="20" t="s">
        <v>6</v>
      </c>
      <c r="D13" s="20" t="s">
        <v>8</v>
      </c>
      <c r="E13" s="20" t="s">
        <v>10</v>
      </c>
      <c r="F13" s="20" t="s">
        <v>4</v>
      </c>
      <c r="G13" s="40">
        <f>G14</f>
        <v>1772.6</v>
      </c>
      <c r="H13" s="40">
        <f t="shared" si="2"/>
        <v>1772.6</v>
      </c>
      <c r="I13" s="40">
        <f t="shared" si="2"/>
        <v>1772.6</v>
      </c>
      <c r="J13" s="1"/>
    </row>
    <row r="14" spans="1:10" ht="31.5" outlineLevel="4">
      <c r="A14" s="18" t="s">
        <v>11</v>
      </c>
      <c r="B14" s="19" t="s">
        <v>1</v>
      </c>
      <c r="C14" s="20" t="s">
        <v>6</v>
      </c>
      <c r="D14" s="20" t="s">
        <v>8</v>
      </c>
      <c r="E14" s="20" t="s">
        <v>12</v>
      </c>
      <c r="F14" s="20" t="s">
        <v>4</v>
      </c>
      <c r="G14" s="40">
        <f>G15</f>
        <v>1772.6</v>
      </c>
      <c r="H14" s="40">
        <f t="shared" si="2"/>
        <v>1772.6</v>
      </c>
      <c r="I14" s="40">
        <f t="shared" si="2"/>
        <v>1772.6</v>
      </c>
      <c r="J14" s="1"/>
    </row>
    <row r="15" spans="1:10" ht="47.25" outlineLevel="5">
      <c r="A15" s="18" t="s">
        <v>13</v>
      </c>
      <c r="B15" s="19" t="s">
        <v>1</v>
      </c>
      <c r="C15" s="20" t="s">
        <v>6</v>
      </c>
      <c r="D15" s="20" t="s">
        <v>8</v>
      </c>
      <c r="E15" s="20" t="s">
        <v>14</v>
      </c>
      <c r="F15" s="20" t="s">
        <v>4</v>
      </c>
      <c r="G15" s="40">
        <f>G16</f>
        <v>1772.6</v>
      </c>
      <c r="H15" s="40">
        <f t="shared" si="2"/>
        <v>1772.6</v>
      </c>
      <c r="I15" s="40">
        <f t="shared" si="2"/>
        <v>1772.6</v>
      </c>
      <c r="J15" s="1"/>
    </row>
    <row r="16" spans="1:10" ht="47.25" outlineLevel="6">
      <c r="A16" s="18" t="s">
        <v>15</v>
      </c>
      <c r="B16" s="19" t="s">
        <v>1</v>
      </c>
      <c r="C16" s="20" t="s">
        <v>6</v>
      </c>
      <c r="D16" s="20" t="s">
        <v>8</v>
      </c>
      <c r="E16" s="20" t="s">
        <v>16</v>
      </c>
      <c r="F16" s="20" t="s">
        <v>4</v>
      </c>
      <c r="G16" s="40">
        <f>G17</f>
        <v>1772.6</v>
      </c>
      <c r="H16" s="40">
        <f t="shared" ref="H16:I16" si="3">H17</f>
        <v>1772.6</v>
      </c>
      <c r="I16" s="40">
        <f t="shared" si="3"/>
        <v>1772.6</v>
      </c>
      <c r="J16" s="1"/>
    </row>
    <row r="17" spans="1:10" ht="129" customHeight="1" outlineLevel="7">
      <c r="A17" s="18" t="s">
        <v>17</v>
      </c>
      <c r="B17" s="19" t="s">
        <v>1</v>
      </c>
      <c r="C17" s="20" t="s">
        <v>6</v>
      </c>
      <c r="D17" s="20" t="s">
        <v>8</v>
      </c>
      <c r="E17" s="20" t="s">
        <v>16</v>
      </c>
      <c r="F17" s="20" t="s">
        <v>18</v>
      </c>
      <c r="G17" s="40">
        <v>1772.6</v>
      </c>
      <c r="H17" s="40">
        <v>1772.6</v>
      </c>
      <c r="I17" s="40">
        <v>1772.6</v>
      </c>
      <c r="J17" s="1"/>
    </row>
    <row r="18" spans="1:10" ht="94.5" outlineLevel="2">
      <c r="A18" s="15" t="s">
        <v>19</v>
      </c>
      <c r="B18" s="16" t="s">
        <v>1</v>
      </c>
      <c r="C18" s="17" t="s">
        <v>6</v>
      </c>
      <c r="D18" s="17" t="s">
        <v>20</v>
      </c>
      <c r="E18" s="17" t="s">
        <v>3</v>
      </c>
      <c r="F18" s="17" t="s">
        <v>4</v>
      </c>
      <c r="G18" s="39">
        <f>G19+G31+G39</f>
        <v>45114.125900000006</v>
      </c>
      <c r="H18" s="39">
        <f t="shared" ref="H18:I18" si="4">H19+H31</f>
        <v>35295.600000000006</v>
      </c>
      <c r="I18" s="39">
        <f t="shared" si="4"/>
        <v>35295.600000000006</v>
      </c>
      <c r="J18" s="1"/>
    </row>
    <row r="19" spans="1:10" ht="47.25" outlineLevel="3">
      <c r="A19" s="18" t="s">
        <v>9</v>
      </c>
      <c r="B19" s="19" t="s">
        <v>1</v>
      </c>
      <c r="C19" s="20" t="s">
        <v>6</v>
      </c>
      <c r="D19" s="20" t="s">
        <v>20</v>
      </c>
      <c r="E19" s="20" t="s">
        <v>10</v>
      </c>
      <c r="F19" s="20" t="s">
        <v>4</v>
      </c>
      <c r="G19" s="40">
        <f>G20</f>
        <v>43994.025900000008</v>
      </c>
      <c r="H19" s="40">
        <f t="shared" ref="H19:I19" si="5">H20</f>
        <v>35243.600000000006</v>
      </c>
      <c r="I19" s="40">
        <f t="shared" si="5"/>
        <v>35243.600000000006</v>
      </c>
      <c r="J19" s="1"/>
    </row>
    <row r="20" spans="1:10" ht="31.5" outlineLevel="4">
      <c r="A20" s="18" t="s">
        <v>11</v>
      </c>
      <c r="B20" s="19" t="s">
        <v>1</v>
      </c>
      <c r="C20" s="20" t="s">
        <v>6</v>
      </c>
      <c r="D20" s="20" t="s">
        <v>20</v>
      </c>
      <c r="E20" s="20" t="s">
        <v>12</v>
      </c>
      <c r="F20" s="20" t="s">
        <v>4</v>
      </c>
      <c r="G20" s="40">
        <f>G21+G24</f>
        <v>43994.025900000008</v>
      </c>
      <c r="H20" s="40">
        <f t="shared" ref="H20:I20" si="6">H21+H24</f>
        <v>35243.600000000006</v>
      </c>
      <c r="I20" s="40">
        <f t="shared" si="6"/>
        <v>35243.600000000006</v>
      </c>
      <c r="J20" s="1"/>
    </row>
    <row r="21" spans="1:10" ht="47.25" outlineLevel="5">
      <c r="A21" s="18" t="s">
        <v>13</v>
      </c>
      <c r="B21" s="19" t="s">
        <v>1</v>
      </c>
      <c r="C21" s="20" t="s">
        <v>6</v>
      </c>
      <c r="D21" s="20" t="s">
        <v>20</v>
      </c>
      <c r="E21" s="20" t="s">
        <v>14</v>
      </c>
      <c r="F21" s="20" t="s">
        <v>4</v>
      </c>
      <c r="G21" s="40">
        <f>G22</f>
        <v>41351.225900000012</v>
      </c>
      <c r="H21" s="40">
        <f t="shared" ref="H21:I21" si="7">H22</f>
        <v>32968.800000000003</v>
      </c>
      <c r="I21" s="40">
        <f t="shared" si="7"/>
        <v>32968.800000000003</v>
      </c>
      <c r="J21" s="1"/>
    </row>
    <row r="22" spans="1:10" ht="47.25" outlineLevel="6">
      <c r="A22" s="18" t="s">
        <v>21</v>
      </c>
      <c r="B22" s="19" t="s">
        <v>1</v>
      </c>
      <c r="C22" s="20" t="s">
        <v>6</v>
      </c>
      <c r="D22" s="20" t="s">
        <v>20</v>
      </c>
      <c r="E22" s="20" t="s">
        <v>22</v>
      </c>
      <c r="F22" s="20" t="s">
        <v>4</v>
      </c>
      <c r="G22" s="40">
        <f>G23</f>
        <v>41351.225900000012</v>
      </c>
      <c r="H22" s="40">
        <f t="shared" ref="H22:I22" si="8">H23</f>
        <v>32968.800000000003</v>
      </c>
      <c r="I22" s="40">
        <f t="shared" si="8"/>
        <v>32968.800000000003</v>
      </c>
      <c r="J22" s="1"/>
    </row>
    <row r="23" spans="1:10" ht="125.25" customHeight="1" outlineLevel="7">
      <c r="A23" s="18" t="s">
        <v>17</v>
      </c>
      <c r="B23" s="19" t="s">
        <v>1</v>
      </c>
      <c r="C23" s="20" t="s">
        <v>6</v>
      </c>
      <c r="D23" s="20" t="s">
        <v>20</v>
      </c>
      <c r="E23" s="20" t="s">
        <v>22</v>
      </c>
      <c r="F23" s="20" t="s">
        <v>18</v>
      </c>
      <c r="G23" s="40">
        <f>32968.8+1225.2-15-469.452-51.11906-1.2+5209.5-0.6+2485.09696</f>
        <v>41351.225900000012</v>
      </c>
      <c r="H23" s="40">
        <v>32968.800000000003</v>
      </c>
      <c r="I23" s="40">
        <v>32968.800000000003</v>
      </c>
      <c r="J23" s="1"/>
    </row>
    <row r="24" spans="1:10" ht="94.5" outlineLevel="5">
      <c r="A24" s="18" t="s">
        <v>23</v>
      </c>
      <c r="B24" s="19" t="s">
        <v>1</v>
      </c>
      <c r="C24" s="20" t="s">
        <v>6</v>
      </c>
      <c r="D24" s="20" t="s">
        <v>20</v>
      </c>
      <c r="E24" s="20" t="s">
        <v>24</v>
      </c>
      <c r="F24" s="20" t="s">
        <v>4</v>
      </c>
      <c r="G24" s="40">
        <f>G25+G28</f>
        <v>2642.7999999999993</v>
      </c>
      <c r="H24" s="40">
        <f t="shared" ref="H24:I24" si="9">H25+H28</f>
        <v>2274.7999999999997</v>
      </c>
      <c r="I24" s="40">
        <f t="shared" si="9"/>
        <v>2274.7999999999997</v>
      </c>
      <c r="J24" s="1"/>
    </row>
    <row r="25" spans="1:10" ht="47.25" customHeight="1" outlineLevel="6">
      <c r="A25" s="18" t="s">
        <v>25</v>
      </c>
      <c r="B25" s="19" t="s">
        <v>1</v>
      </c>
      <c r="C25" s="20" t="s">
        <v>6</v>
      </c>
      <c r="D25" s="20" t="s">
        <v>20</v>
      </c>
      <c r="E25" s="20" t="s">
        <v>26</v>
      </c>
      <c r="F25" s="20" t="s">
        <v>4</v>
      </c>
      <c r="G25" s="40">
        <f>G26+G27</f>
        <v>1488.8999999999996</v>
      </c>
      <c r="H25" s="40">
        <f t="shared" ref="H25:I25" si="10">H26+H27</f>
        <v>1279.6999999999998</v>
      </c>
      <c r="I25" s="40">
        <f t="shared" si="10"/>
        <v>1279.6999999999998</v>
      </c>
      <c r="J25" s="1"/>
    </row>
    <row r="26" spans="1:10" ht="128.25" customHeight="1" outlineLevel="7">
      <c r="A26" s="18" t="s">
        <v>17</v>
      </c>
      <c r="B26" s="19" t="s">
        <v>1</v>
      </c>
      <c r="C26" s="20" t="s">
        <v>6</v>
      </c>
      <c r="D26" s="20" t="s">
        <v>20</v>
      </c>
      <c r="E26" s="20" t="s">
        <v>26</v>
      </c>
      <c r="F26" s="20" t="s">
        <v>18</v>
      </c>
      <c r="G26" s="40">
        <f>1156.1+41.6+167.6</f>
        <v>1365.2999999999997</v>
      </c>
      <c r="H26" s="40">
        <v>1156.0999999999999</v>
      </c>
      <c r="I26" s="40">
        <v>1156.0999999999999</v>
      </c>
      <c r="J26" s="1"/>
    </row>
    <row r="27" spans="1:10" ht="63" outlineLevel="7">
      <c r="A27" s="18" t="s">
        <v>27</v>
      </c>
      <c r="B27" s="19" t="s">
        <v>1</v>
      </c>
      <c r="C27" s="20" t="s">
        <v>6</v>
      </c>
      <c r="D27" s="20" t="s">
        <v>20</v>
      </c>
      <c r="E27" s="20" t="s">
        <v>26</v>
      </c>
      <c r="F27" s="20" t="s">
        <v>28</v>
      </c>
      <c r="G27" s="40">
        <v>123.6</v>
      </c>
      <c r="H27" s="40">
        <v>123.6</v>
      </c>
      <c r="I27" s="40">
        <v>123.6</v>
      </c>
      <c r="J27" s="1"/>
    </row>
    <row r="28" spans="1:10" ht="63" outlineLevel="6">
      <c r="A28" s="18" t="s">
        <v>29</v>
      </c>
      <c r="B28" s="19" t="s">
        <v>1</v>
      </c>
      <c r="C28" s="20" t="s">
        <v>6</v>
      </c>
      <c r="D28" s="20" t="s">
        <v>20</v>
      </c>
      <c r="E28" s="20" t="s">
        <v>30</v>
      </c>
      <c r="F28" s="20" t="s">
        <v>4</v>
      </c>
      <c r="G28" s="40">
        <f>G29+G30</f>
        <v>1153.8999999999999</v>
      </c>
      <c r="H28" s="40">
        <f t="shared" ref="H28:I28" si="11">H29+H30</f>
        <v>995.09999999999991</v>
      </c>
      <c r="I28" s="40">
        <f t="shared" si="11"/>
        <v>995.09999999999991</v>
      </c>
      <c r="J28" s="1"/>
    </row>
    <row r="29" spans="1:10" ht="125.25" customHeight="1" outlineLevel="7">
      <c r="A29" s="18" t="s">
        <v>17</v>
      </c>
      <c r="B29" s="19" t="s">
        <v>1</v>
      </c>
      <c r="C29" s="20" t="s">
        <v>6</v>
      </c>
      <c r="D29" s="20" t="s">
        <v>20</v>
      </c>
      <c r="E29" s="20" t="s">
        <v>30</v>
      </c>
      <c r="F29" s="20" t="s">
        <v>18</v>
      </c>
      <c r="G29" s="40">
        <f>877.8+31.5+127.3</f>
        <v>1036.5999999999999</v>
      </c>
      <c r="H29" s="40">
        <v>877.8</v>
      </c>
      <c r="I29" s="40">
        <v>877.8</v>
      </c>
      <c r="J29" s="1"/>
    </row>
    <row r="30" spans="1:10" ht="63" outlineLevel="7">
      <c r="A30" s="18" t="s">
        <v>27</v>
      </c>
      <c r="B30" s="19" t="s">
        <v>1</v>
      </c>
      <c r="C30" s="20" t="s">
        <v>6</v>
      </c>
      <c r="D30" s="20" t="s">
        <v>20</v>
      </c>
      <c r="E30" s="20" t="s">
        <v>30</v>
      </c>
      <c r="F30" s="20" t="s">
        <v>28</v>
      </c>
      <c r="G30" s="40">
        <v>117.3</v>
      </c>
      <c r="H30" s="40">
        <v>117.3</v>
      </c>
      <c r="I30" s="40">
        <v>117.3</v>
      </c>
      <c r="J30" s="1"/>
    </row>
    <row r="31" spans="1:10" ht="47.25" outlineLevel="3">
      <c r="A31" s="18" t="s">
        <v>31</v>
      </c>
      <c r="B31" s="19" t="s">
        <v>1</v>
      </c>
      <c r="C31" s="20" t="s">
        <v>6</v>
      </c>
      <c r="D31" s="20" t="s">
        <v>20</v>
      </c>
      <c r="E31" s="20" t="s">
        <v>32</v>
      </c>
      <c r="F31" s="20" t="s">
        <v>4</v>
      </c>
      <c r="G31" s="40">
        <f>G32</f>
        <v>52</v>
      </c>
      <c r="H31" s="40">
        <f t="shared" ref="H31:I31" si="12">H32</f>
        <v>52</v>
      </c>
      <c r="I31" s="40">
        <f t="shared" si="12"/>
        <v>52</v>
      </c>
      <c r="J31" s="1"/>
    </row>
    <row r="32" spans="1:10" ht="31.5" outlineLevel="4">
      <c r="A32" s="18" t="s">
        <v>11</v>
      </c>
      <c r="B32" s="19" t="s">
        <v>1</v>
      </c>
      <c r="C32" s="20" t="s">
        <v>6</v>
      </c>
      <c r="D32" s="20" t="s">
        <v>20</v>
      </c>
      <c r="E32" s="20" t="s">
        <v>33</v>
      </c>
      <c r="F32" s="20" t="s">
        <v>4</v>
      </c>
      <c r="G32" s="40">
        <f>G33+G36</f>
        <v>52</v>
      </c>
      <c r="H32" s="40">
        <f t="shared" ref="H32:I32" si="13">H33+H36</f>
        <v>52</v>
      </c>
      <c r="I32" s="40">
        <f t="shared" si="13"/>
        <v>52</v>
      </c>
      <c r="J32" s="1"/>
    </row>
    <row r="33" spans="1:10" ht="63" outlineLevel="5">
      <c r="A33" s="18" t="s">
        <v>34</v>
      </c>
      <c r="B33" s="19" t="s">
        <v>1</v>
      </c>
      <c r="C33" s="20" t="s">
        <v>6</v>
      </c>
      <c r="D33" s="20" t="s">
        <v>20</v>
      </c>
      <c r="E33" s="20" t="s">
        <v>35</v>
      </c>
      <c r="F33" s="20" t="s">
        <v>4</v>
      </c>
      <c r="G33" s="40">
        <f>G34</f>
        <v>30</v>
      </c>
      <c r="H33" s="40">
        <f t="shared" ref="H33:I34" si="14">H34</f>
        <v>30</v>
      </c>
      <c r="I33" s="40">
        <f t="shared" si="14"/>
        <v>30</v>
      </c>
      <c r="J33" s="1"/>
    </row>
    <row r="34" spans="1:10" ht="47.25" outlineLevel="6">
      <c r="A34" s="18" t="s">
        <v>36</v>
      </c>
      <c r="B34" s="19" t="s">
        <v>1</v>
      </c>
      <c r="C34" s="20" t="s">
        <v>6</v>
      </c>
      <c r="D34" s="20" t="s">
        <v>20</v>
      </c>
      <c r="E34" s="20" t="s">
        <v>37</v>
      </c>
      <c r="F34" s="20" t="s">
        <v>4</v>
      </c>
      <c r="G34" s="40">
        <f>G35</f>
        <v>30</v>
      </c>
      <c r="H34" s="40">
        <f t="shared" si="14"/>
        <v>30</v>
      </c>
      <c r="I34" s="40">
        <f t="shared" si="14"/>
        <v>30</v>
      </c>
      <c r="J34" s="1"/>
    </row>
    <row r="35" spans="1:10" ht="63" outlineLevel="7">
      <c r="A35" s="18" t="s">
        <v>27</v>
      </c>
      <c r="B35" s="19" t="s">
        <v>1</v>
      </c>
      <c r="C35" s="20" t="s">
        <v>6</v>
      </c>
      <c r="D35" s="20" t="s">
        <v>20</v>
      </c>
      <c r="E35" s="20" t="s">
        <v>37</v>
      </c>
      <c r="F35" s="20" t="s">
        <v>28</v>
      </c>
      <c r="G35" s="40">
        <v>30</v>
      </c>
      <c r="H35" s="40">
        <v>30</v>
      </c>
      <c r="I35" s="40">
        <v>30</v>
      </c>
      <c r="J35" s="1"/>
    </row>
    <row r="36" spans="1:10" ht="47.25" outlineLevel="5">
      <c r="A36" s="18" t="s">
        <v>38</v>
      </c>
      <c r="B36" s="19" t="s">
        <v>1</v>
      </c>
      <c r="C36" s="20" t="s">
        <v>6</v>
      </c>
      <c r="D36" s="20" t="s">
        <v>20</v>
      </c>
      <c r="E36" s="20" t="s">
        <v>39</v>
      </c>
      <c r="F36" s="20" t="s">
        <v>4</v>
      </c>
      <c r="G36" s="40">
        <f>G37</f>
        <v>22</v>
      </c>
      <c r="H36" s="40">
        <f t="shared" ref="H36:I37" si="15">H37</f>
        <v>22</v>
      </c>
      <c r="I36" s="40">
        <f t="shared" si="15"/>
        <v>22</v>
      </c>
      <c r="J36" s="1"/>
    </row>
    <row r="37" spans="1:10" ht="63" outlineLevel="6">
      <c r="A37" s="18" t="s">
        <v>40</v>
      </c>
      <c r="B37" s="19" t="s">
        <v>1</v>
      </c>
      <c r="C37" s="20" t="s">
        <v>6</v>
      </c>
      <c r="D37" s="20" t="s">
        <v>20</v>
      </c>
      <c r="E37" s="20" t="s">
        <v>41</v>
      </c>
      <c r="F37" s="20" t="s">
        <v>4</v>
      </c>
      <c r="G37" s="40">
        <f>G38</f>
        <v>22</v>
      </c>
      <c r="H37" s="40">
        <f t="shared" si="15"/>
        <v>22</v>
      </c>
      <c r="I37" s="40">
        <f t="shared" si="15"/>
        <v>22</v>
      </c>
      <c r="J37" s="1"/>
    </row>
    <row r="38" spans="1:10" ht="31.5" outlineLevel="7">
      <c r="A38" s="18" t="s">
        <v>42</v>
      </c>
      <c r="B38" s="19" t="s">
        <v>1</v>
      </c>
      <c r="C38" s="20" t="s">
        <v>6</v>
      </c>
      <c r="D38" s="20" t="s">
        <v>20</v>
      </c>
      <c r="E38" s="20" t="s">
        <v>41</v>
      </c>
      <c r="F38" s="20" t="s">
        <v>43</v>
      </c>
      <c r="G38" s="40">
        <v>22</v>
      </c>
      <c r="H38" s="40">
        <v>22</v>
      </c>
      <c r="I38" s="40">
        <v>22</v>
      </c>
      <c r="J38" s="1"/>
    </row>
    <row r="39" spans="1:10" ht="31.5" outlineLevel="7">
      <c r="A39" s="18" t="s">
        <v>140</v>
      </c>
      <c r="B39" s="19" t="s">
        <v>1</v>
      </c>
      <c r="C39" s="20" t="s">
        <v>6</v>
      </c>
      <c r="D39" s="20" t="s">
        <v>20</v>
      </c>
      <c r="E39" s="20" t="s">
        <v>141</v>
      </c>
      <c r="F39" s="20" t="s">
        <v>4</v>
      </c>
      <c r="G39" s="40">
        <f>G40</f>
        <v>1068.1000000000004</v>
      </c>
      <c r="H39" s="40">
        <f t="shared" ref="H39:I41" si="16">H40</f>
        <v>0</v>
      </c>
      <c r="I39" s="40">
        <f t="shared" si="16"/>
        <v>0</v>
      </c>
      <c r="J39" s="1"/>
    </row>
    <row r="40" spans="1:10" ht="15.75" outlineLevel="7">
      <c r="A40" s="18" t="s">
        <v>142</v>
      </c>
      <c r="B40" s="19" t="s">
        <v>1</v>
      </c>
      <c r="C40" s="20" t="s">
        <v>6</v>
      </c>
      <c r="D40" s="20" t="s">
        <v>20</v>
      </c>
      <c r="E40" s="20" t="s">
        <v>143</v>
      </c>
      <c r="F40" s="20" t="s">
        <v>4</v>
      </c>
      <c r="G40" s="40">
        <f>G41</f>
        <v>1068.1000000000004</v>
      </c>
      <c r="H40" s="40">
        <f t="shared" si="16"/>
        <v>0</v>
      </c>
      <c r="I40" s="40">
        <f t="shared" si="16"/>
        <v>0</v>
      </c>
      <c r="J40" s="1"/>
    </row>
    <row r="41" spans="1:10" ht="94.5" customHeight="1" outlineLevel="7">
      <c r="A41" s="21" t="s">
        <v>769</v>
      </c>
      <c r="B41" s="22" t="s">
        <v>1</v>
      </c>
      <c r="C41" s="20" t="s">
        <v>6</v>
      </c>
      <c r="D41" s="20" t="s">
        <v>20</v>
      </c>
      <c r="E41" s="23">
        <v>9990055491</v>
      </c>
      <c r="F41" s="19" t="s">
        <v>4</v>
      </c>
      <c r="G41" s="40">
        <f>G42</f>
        <v>1068.1000000000004</v>
      </c>
      <c r="H41" s="40">
        <f t="shared" si="16"/>
        <v>0</v>
      </c>
      <c r="I41" s="40">
        <f t="shared" si="16"/>
        <v>0</v>
      </c>
      <c r="J41" s="1"/>
    </row>
    <row r="42" spans="1:10" ht="128.25" customHeight="1" outlineLevel="7">
      <c r="A42" s="18" t="s">
        <v>17</v>
      </c>
      <c r="B42" s="19" t="s">
        <v>1</v>
      </c>
      <c r="C42" s="20" t="s">
        <v>6</v>
      </c>
      <c r="D42" s="20" t="s">
        <v>20</v>
      </c>
      <c r="E42" s="23">
        <v>9990055491</v>
      </c>
      <c r="F42" s="19" t="s">
        <v>18</v>
      </c>
      <c r="G42" s="40">
        <f>3124.8-2056.7</f>
        <v>1068.1000000000004</v>
      </c>
      <c r="H42" s="40">
        <v>0</v>
      </c>
      <c r="I42" s="40">
        <v>0</v>
      </c>
      <c r="J42" s="1"/>
    </row>
    <row r="43" spans="1:10" ht="15.75" outlineLevel="2">
      <c r="A43" s="15" t="s">
        <v>44</v>
      </c>
      <c r="B43" s="16" t="s">
        <v>1</v>
      </c>
      <c r="C43" s="17" t="s">
        <v>6</v>
      </c>
      <c r="D43" s="17" t="s">
        <v>45</v>
      </c>
      <c r="E43" s="17" t="s">
        <v>3</v>
      </c>
      <c r="F43" s="17" t="s">
        <v>4</v>
      </c>
      <c r="G43" s="39">
        <f>G44</f>
        <v>160.6</v>
      </c>
      <c r="H43" s="39">
        <f t="shared" ref="H43:I46" si="17">H44</f>
        <v>9.5</v>
      </c>
      <c r="I43" s="39">
        <f t="shared" si="17"/>
        <v>8.5</v>
      </c>
      <c r="J43" s="1"/>
    </row>
    <row r="44" spans="1:10" ht="47.25" outlineLevel="3">
      <c r="A44" s="18" t="s">
        <v>9</v>
      </c>
      <c r="B44" s="19" t="s">
        <v>1</v>
      </c>
      <c r="C44" s="20" t="s">
        <v>6</v>
      </c>
      <c r="D44" s="20" t="s">
        <v>45</v>
      </c>
      <c r="E44" s="20" t="s">
        <v>10</v>
      </c>
      <c r="F44" s="20" t="s">
        <v>4</v>
      </c>
      <c r="G44" s="40">
        <f>G45</f>
        <v>160.6</v>
      </c>
      <c r="H44" s="40">
        <f t="shared" si="17"/>
        <v>9.5</v>
      </c>
      <c r="I44" s="40">
        <f t="shared" si="17"/>
        <v>8.5</v>
      </c>
      <c r="J44" s="1"/>
    </row>
    <row r="45" spans="1:10" ht="31.5" outlineLevel="4">
      <c r="A45" s="18" t="s">
        <v>11</v>
      </c>
      <c r="B45" s="19" t="s">
        <v>1</v>
      </c>
      <c r="C45" s="20" t="s">
        <v>6</v>
      </c>
      <c r="D45" s="20" t="s">
        <v>45</v>
      </c>
      <c r="E45" s="20" t="s">
        <v>12</v>
      </c>
      <c r="F45" s="20" t="s">
        <v>4</v>
      </c>
      <c r="G45" s="40">
        <f>G46</f>
        <v>160.6</v>
      </c>
      <c r="H45" s="40">
        <f t="shared" si="17"/>
        <v>9.5</v>
      </c>
      <c r="I45" s="40">
        <f t="shared" si="17"/>
        <v>8.5</v>
      </c>
      <c r="J45" s="1"/>
    </row>
    <row r="46" spans="1:10" ht="94.5" outlineLevel="5">
      <c r="A46" s="18" t="s">
        <v>23</v>
      </c>
      <c r="B46" s="19" t="s">
        <v>1</v>
      </c>
      <c r="C46" s="20" t="s">
        <v>6</v>
      </c>
      <c r="D46" s="20" t="s">
        <v>45</v>
      </c>
      <c r="E46" s="20" t="s">
        <v>24</v>
      </c>
      <c r="F46" s="20" t="s">
        <v>4</v>
      </c>
      <c r="G46" s="40">
        <f>G47</f>
        <v>160.6</v>
      </c>
      <c r="H46" s="40">
        <f t="shared" si="17"/>
        <v>9.5</v>
      </c>
      <c r="I46" s="40">
        <f t="shared" si="17"/>
        <v>8.5</v>
      </c>
      <c r="J46" s="1"/>
    </row>
    <row r="47" spans="1:10" ht="78.75" customHeight="1" outlineLevel="6">
      <c r="A47" s="18" t="s">
        <v>46</v>
      </c>
      <c r="B47" s="19" t="s">
        <v>1</v>
      </c>
      <c r="C47" s="20" t="s">
        <v>6</v>
      </c>
      <c r="D47" s="20" t="s">
        <v>45</v>
      </c>
      <c r="E47" s="20" t="s">
        <v>47</v>
      </c>
      <c r="F47" s="20" t="s">
        <v>4</v>
      </c>
      <c r="G47" s="40">
        <f>G48</f>
        <v>160.6</v>
      </c>
      <c r="H47" s="40">
        <f t="shared" ref="H47:I47" si="18">H48</f>
        <v>9.5</v>
      </c>
      <c r="I47" s="40">
        <f t="shared" si="18"/>
        <v>8.5</v>
      </c>
      <c r="J47" s="1"/>
    </row>
    <row r="48" spans="1:10" ht="63" outlineLevel="7">
      <c r="A48" s="18" t="s">
        <v>27</v>
      </c>
      <c r="B48" s="19" t="s">
        <v>1</v>
      </c>
      <c r="C48" s="20" t="s">
        <v>6</v>
      </c>
      <c r="D48" s="20" t="s">
        <v>45</v>
      </c>
      <c r="E48" s="20" t="s">
        <v>47</v>
      </c>
      <c r="F48" s="20" t="s">
        <v>28</v>
      </c>
      <c r="G48" s="40">
        <v>160.6</v>
      </c>
      <c r="H48" s="40">
        <v>9.5</v>
      </c>
      <c r="I48" s="40">
        <v>8.5</v>
      </c>
      <c r="J48" s="1"/>
    </row>
    <row r="49" spans="1:10" ht="31.5" outlineLevel="2">
      <c r="A49" s="15" t="s">
        <v>48</v>
      </c>
      <c r="B49" s="16" t="s">
        <v>1</v>
      </c>
      <c r="C49" s="17" t="s">
        <v>6</v>
      </c>
      <c r="D49" s="17" t="s">
        <v>49</v>
      </c>
      <c r="E49" s="17" t="s">
        <v>3</v>
      </c>
      <c r="F49" s="17" t="s">
        <v>4</v>
      </c>
      <c r="G49" s="39">
        <f>G50+G55+G80</f>
        <v>50344.985189999985</v>
      </c>
      <c r="H49" s="39">
        <f t="shared" ref="H49:I49" si="19">H50+H55+H80</f>
        <v>47784.899999999994</v>
      </c>
      <c r="I49" s="39">
        <f t="shared" si="19"/>
        <v>47784.899999999994</v>
      </c>
      <c r="J49" s="1"/>
    </row>
    <row r="50" spans="1:10" ht="68.25" customHeight="1" outlineLevel="3">
      <c r="A50" s="18" t="s">
        <v>50</v>
      </c>
      <c r="B50" s="19" t="s">
        <v>1</v>
      </c>
      <c r="C50" s="20" t="s">
        <v>6</v>
      </c>
      <c r="D50" s="20" t="s">
        <v>49</v>
      </c>
      <c r="E50" s="20" t="s">
        <v>51</v>
      </c>
      <c r="F50" s="20" t="s">
        <v>4</v>
      </c>
      <c r="G50" s="40">
        <f>G51</f>
        <v>466</v>
      </c>
      <c r="H50" s="40">
        <f t="shared" ref="H50:I53" si="20">H51</f>
        <v>0</v>
      </c>
      <c r="I50" s="40">
        <f t="shared" si="20"/>
        <v>0</v>
      </c>
      <c r="J50" s="1"/>
    </row>
    <row r="51" spans="1:10" ht="31.5" outlineLevel="4">
      <c r="A51" s="18" t="s">
        <v>11</v>
      </c>
      <c r="B51" s="19" t="s">
        <v>1</v>
      </c>
      <c r="C51" s="20" t="s">
        <v>6</v>
      </c>
      <c r="D51" s="20" t="s">
        <v>49</v>
      </c>
      <c r="E51" s="20" t="s">
        <v>52</v>
      </c>
      <c r="F51" s="20" t="s">
        <v>4</v>
      </c>
      <c r="G51" s="40">
        <f>G52</f>
        <v>466</v>
      </c>
      <c r="H51" s="40">
        <f t="shared" si="20"/>
        <v>0</v>
      </c>
      <c r="I51" s="40">
        <f t="shared" si="20"/>
        <v>0</v>
      </c>
      <c r="J51" s="1"/>
    </row>
    <row r="52" spans="1:10" ht="78.75" outlineLevel="5">
      <c r="A52" s="18" t="s">
        <v>53</v>
      </c>
      <c r="B52" s="19" t="s">
        <v>1</v>
      </c>
      <c r="C52" s="20" t="s">
        <v>6</v>
      </c>
      <c r="D52" s="20" t="s">
        <v>49</v>
      </c>
      <c r="E52" s="20" t="s">
        <v>54</v>
      </c>
      <c r="F52" s="20" t="s">
        <v>4</v>
      </c>
      <c r="G52" s="40">
        <f>G53</f>
        <v>466</v>
      </c>
      <c r="H52" s="40">
        <f t="shared" si="20"/>
        <v>0</v>
      </c>
      <c r="I52" s="40">
        <f t="shared" si="20"/>
        <v>0</v>
      </c>
      <c r="J52" s="1"/>
    </row>
    <row r="53" spans="1:10" ht="63" customHeight="1" outlineLevel="6">
      <c r="A53" s="18" t="s">
        <v>55</v>
      </c>
      <c r="B53" s="19" t="s">
        <v>1</v>
      </c>
      <c r="C53" s="20" t="s">
        <v>6</v>
      </c>
      <c r="D53" s="20" t="s">
        <v>49</v>
      </c>
      <c r="E53" s="20" t="s">
        <v>56</v>
      </c>
      <c r="F53" s="20" t="s">
        <v>4</v>
      </c>
      <c r="G53" s="40">
        <f>G54</f>
        <v>466</v>
      </c>
      <c r="H53" s="40">
        <f t="shared" si="20"/>
        <v>0</v>
      </c>
      <c r="I53" s="40">
        <f t="shared" si="20"/>
        <v>0</v>
      </c>
      <c r="J53" s="1"/>
    </row>
    <row r="54" spans="1:10" ht="63" outlineLevel="7">
      <c r="A54" s="18" t="s">
        <v>27</v>
      </c>
      <c r="B54" s="19" t="s">
        <v>1</v>
      </c>
      <c r="C54" s="20" t="s">
        <v>6</v>
      </c>
      <c r="D54" s="20" t="s">
        <v>49</v>
      </c>
      <c r="E54" s="20" t="s">
        <v>56</v>
      </c>
      <c r="F54" s="20" t="s">
        <v>28</v>
      </c>
      <c r="G54" s="40">
        <v>466</v>
      </c>
      <c r="H54" s="40">
        <v>0</v>
      </c>
      <c r="I54" s="40">
        <v>0</v>
      </c>
      <c r="J54" s="1"/>
    </row>
    <row r="55" spans="1:10" ht="47.25" outlineLevel="3">
      <c r="A55" s="18" t="s">
        <v>9</v>
      </c>
      <c r="B55" s="19" t="s">
        <v>1</v>
      </c>
      <c r="C55" s="20" t="s">
        <v>6</v>
      </c>
      <c r="D55" s="20" t="s">
        <v>49</v>
      </c>
      <c r="E55" s="20" t="s">
        <v>10</v>
      </c>
      <c r="F55" s="20" t="s">
        <v>4</v>
      </c>
      <c r="G55" s="40">
        <f>G56</f>
        <v>44083.810229999988</v>
      </c>
      <c r="H55" s="40">
        <f t="shared" ref="H55:I55" si="21">H56</f>
        <v>42428.7</v>
      </c>
      <c r="I55" s="40">
        <f t="shared" si="21"/>
        <v>42428.7</v>
      </c>
      <c r="J55" s="1"/>
    </row>
    <row r="56" spans="1:10" ht="31.5" outlineLevel="4">
      <c r="A56" s="18" t="s">
        <v>11</v>
      </c>
      <c r="B56" s="19" t="s">
        <v>1</v>
      </c>
      <c r="C56" s="20" t="s">
        <v>6</v>
      </c>
      <c r="D56" s="20" t="s">
        <v>49</v>
      </c>
      <c r="E56" s="20" t="s">
        <v>12</v>
      </c>
      <c r="F56" s="20" t="s">
        <v>4</v>
      </c>
      <c r="G56" s="40">
        <f>G60+G68+G71+G57</f>
        <v>44083.810229999988</v>
      </c>
      <c r="H56" s="40">
        <f t="shared" ref="H56:I56" si="22">H60+H68+H71</f>
        <v>42428.7</v>
      </c>
      <c r="I56" s="40">
        <f t="shared" si="22"/>
        <v>42428.7</v>
      </c>
      <c r="J56" s="1"/>
    </row>
    <row r="57" spans="1:10" ht="47.25" outlineLevel="4">
      <c r="A57" s="18" t="s">
        <v>13</v>
      </c>
      <c r="B57" s="19" t="s">
        <v>1</v>
      </c>
      <c r="C57" s="20" t="s">
        <v>6</v>
      </c>
      <c r="D57" s="20" t="s">
        <v>49</v>
      </c>
      <c r="E57" s="20" t="s">
        <v>14</v>
      </c>
      <c r="F57" s="20" t="s">
        <v>4</v>
      </c>
      <c r="G57" s="40">
        <f>G58</f>
        <v>469.452</v>
      </c>
      <c r="H57" s="40">
        <f t="shared" ref="H57:I58" si="23">H58</f>
        <v>0</v>
      </c>
      <c r="I57" s="40">
        <f t="shared" si="23"/>
        <v>0</v>
      </c>
      <c r="J57" s="1"/>
    </row>
    <row r="58" spans="1:10" ht="47.25" outlineLevel="4">
      <c r="A58" s="18" t="s">
        <v>21</v>
      </c>
      <c r="B58" s="19" t="s">
        <v>1</v>
      </c>
      <c r="C58" s="20" t="s">
        <v>6</v>
      </c>
      <c r="D58" s="20" t="s">
        <v>49</v>
      </c>
      <c r="E58" s="20" t="s">
        <v>22</v>
      </c>
      <c r="F58" s="20" t="s">
        <v>4</v>
      </c>
      <c r="G58" s="40">
        <f>G59</f>
        <v>469.452</v>
      </c>
      <c r="H58" s="40">
        <f t="shared" si="23"/>
        <v>0</v>
      </c>
      <c r="I58" s="40">
        <f t="shared" si="23"/>
        <v>0</v>
      </c>
      <c r="J58" s="1"/>
    </row>
    <row r="59" spans="1:10" ht="31.5" outlineLevel="4">
      <c r="A59" s="18" t="s">
        <v>63</v>
      </c>
      <c r="B59" s="19" t="s">
        <v>1</v>
      </c>
      <c r="C59" s="20" t="s">
        <v>6</v>
      </c>
      <c r="D59" s="20" t="s">
        <v>49</v>
      </c>
      <c r="E59" s="20" t="s">
        <v>22</v>
      </c>
      <c r="F59" s="20">
        <v>800</v>
      </c>
      <c r="G59" s="40">
        <v>469.452</v>
      </c>
      <c r="H59" s="40">
        <v>0</v>
      </c>
      <c r="I59" s="40">
        <v>0</v>
      </c>
      <c r="J59" s="1"/>
    </row>
    <row r="60" spans="1:10" ht="63" outlineLevel="5">
      <c r="A60" s="18" t="s">
        <v>57</v>
      </c>
      <c r="B60" s="19" t="s">
        <v>1</v>
      </c>
      <c r="C60" s="20" t="s">
        <v>6</v>
      </c>
      <c r="D60" s="20" t="s">
        <v>49</v>
      </c>
      <c r="E60" s="20" t="s">
        <v>58</v>
      </c>
      <c r="F60" s="20" t="s">
        <v>4</v>
      </c>
      <c r="G60" s="40">
        <f>G61+G64</f>
        <v>5396.1999999999989</v>
      </c>
      <c r="H60" s="40">
        <f t="shared" ref="H60:I60" si="24">H61+H64</f>
        <v>3875</v>
      </c>
      <c r="I60" s="40">
        <f t="shared" si="24"/>
        <v>3875</v>
      </c>
      <c r="J60" s="1"/>
    </row>
    <row r="61" spans="1:10" ht="47.25" outlineLevel="6">
      <c r="A61" s="18" t="s">
        <v>59</v>
      </c>
      <c r="B61" s="19" t="s">
        <v>1</v>
      </c>
      <c r="C61" s="20" t="s">
        <v>6</v>
      </c>
      <c r="D61" s="20" t="s">
        <v>49</v>
      </c>
      <c r="E61" s="20" t="s">
        <v>60</v>
      </c>
      <c r="F61" s="20" t="s">
        <v>4</v>
      </c>
      <c r="G61" s="40">
        <f>G62+G63</f>
        <v>5396.1999999999989</v>
      </c>
      <c r="H61" s="40">
        <f t="shared" ref="H61:I61" si="25">H62+H63</f>
        <v>3875</v>
      </c>
      <c r="I61" s="40">
        <f t="shared" si="25"/>
        <v>3875</v>
      </c>
      <c r="J61" s="1"/>
    </row>
    <row r="62" spans="1:10" ht="128.25" customHeight="1" outlineLevel="7">
      <c r="A62" s="18" t="s">
        <v>17</v>
      </c>
      <c r="B62" s="19" t="s">
        <v>1</v>
      </c>
      <c r="C62" s="20" t="s">
        <v>6</v>
      </c>
      <c r="D62" s="20" t="s">
        <v>49</v>
      </c>
      <c r="E62" s="20" t="s">
        <v>60</v>
      </c>
      <c r="F62" s="20" t="s">
        <v>18</v>
      </c>
      <c r="G62" s="40">
        <f>3583.2+130+1267.1+71.9</f>
        <v>5052.1999999999989</v>
      </c>
      <c r="H62" s="40">
        <v>3583.2</v>
      </c>
      <c r="I62" s="40">
        <v>3583.2</v>
      </c>
      <c r="J62" s="1"/>
    </row>
    <row r="63" spans="1:10" ht="63" outlineLevel="7">
      <c r="A63" s="18" t="s">
        <v>27</v>
      </c>
      <c r="B63" s="19" t="s">
        <v>1</v>
      </c>
      <c r="C63" s="20" t="s">
        <v>6</v>
      </c>
      <c r="D63" s="20" t="s">
        <v>49</v>
      </c>
      <c r="E63" s="20" t="s">
        <v>60</v>
      </c>
      <c r="F63" s="20" t="s">
        <v>28</v>
      </c>
      <c r="G63" s="40">
        <f>291.8+52.2</f>
        <v>344</v>
      </c>
      <c r="H63" s="40">
        <v>291.8</v>
      </c>
      <c r="I63" s="40">
        <v>291.8</v>
      </c>
      <c r="J63" s="1"/>
    </row>
    <row r="64" spans="1:10" ht="78.75" hidden="1" outlineLevel="6">
      <c r="A64" s="18" t="s">
        <v>61</v>
      </c>
      <c r="B64" s="19" t="s">
        <v>1</v>
      </c>
      <c r="C64" s="20" t="s">
        <v>6</v>
      </c>
      <c r="D64" s="20" t="s">
        <v>49</v>
      </c>
      <c r="E64" s="20" t="s">
        <v>62</v>
      </c>
      <c r="F64" s="20" t="s">
        <v>4</v>
      </c>
      <c r="G64" s="40">
        <f>G65+G66+G67</f>
        <v>0</v>
      </c>
      <c r="H64" s="40">
        <f t="shared" ref="H64:I64" si="26">H65+H66+H67</f>
        <v>0</v>
      </c>
      <c r="I64" s="40">
        <f t="shared" si="26"/>
        <v>0</v>
      </c>
      <c r="J64" s="1"/>
    </row>
    <row r="65" spans="1:10" ht="127.5" hidden="1" customHeight="1" outlineLevel="7">
      <c r="A65" s="18" t="s">
        <v>17</v>
      </c>
      <c r="B65" s="19" t="s">
        <v>1</v>
      </c>
      <c r="C65" s="20" t="s">
        <v>6</v>
      </c>
      <c r="D65" s="20" t="s">
        <v>49</v>
      </c>
      <c r="E65" s="20" t="s">
        <v>62</v>
      </c>
      <c r="F65" s="20" t="s">
        <v>18</v>
      </c>
      <c r="G65" s="40">
        <f>10580.1+180.5-10760.6</f>
        <v>0</v>
      </c>
      <c r="H65" s="40">
        <f>10580.1-10580.1</f>
        <v>0</v>
      </c>
      <c r="I65" s="40">
        <f>10580.1-10580.1</f>
        <v>0</v>
      </c>
      <c r="J65" s="1"/>
    </row>
    <row r="66" spans="1:10" ht="63" hidden="1" outlineLevel="7">
      <c r="A66" s="18" t="s">
        <v>27</v>
      </c>
      <c r="B66" s="19" t="s">
        <v>1</v>
      </c>
      <c r="C66" s="20" t="s">
        <v>6</v>
      </c>
      <c r="D66" s="20" t="s">
        <v>49</v>
      </c>
      <c r="E66" s="20" t="s">
        <v>62</v>
      </c>
      <c r="F66" s="20" t="s">
        <v>28</v>
      </c>
      <c r="G66" s="40">
        <f>8399.5-8399.5</f>
        <v>0</v>
      </c>
      <c r="H66" s="40">
        <f>8491.6-8491.6</f>
        <v>0</v>
      </c>
      <c r="I66" s="40">
        <f>8491.6-8491.6</f>
        <v>0</v>
      </c>
      <c r="J66" s="1"/>
    </row>
    <row r="67" spans="1:10" ht="31.5" hidden="1" outlineLevel="7">
      <c r="A67" s="18" t="s">
        <v>63</v>
      </c>
      <c r="B67" s="19" t="s">
        <v>1</v>
      </c>
      <c r="C67" s="20" t="s">
        <v>6</v>
      </c>
      <c r="D67" s="20" t="s">
        <v>49</v>
      </c>
      <c r="E67" s="20" t="s">
        <v>62</v>
      </c>
      <c r="F67" s="20" t="s">
        <v>64</v>
      </c>
      <c r="G67" s="40">
        <f>530-530</f>
        <v>0</v>
      </c>
      <c r="H67" s="40">
        <f>530-530</f>
        <v>0</v>
      </c>
      <c r="I67" s="40">
        <f>530-530</f>
        <v>0</v>
      </c>
      <c r="J67" s="1"/>
    </row>
    <row r="68" spans="1:10" ht="78.75" outlineLevel="5" collapsed="1">
      <c r="A68" s="18" t="s">
        <v>65</v>
      </c>
      <c r="B68" s="19" t="s">
        <v>1</v>
      </c>
      <c r="C68" s="20" t="s">
        <v>6</v>
      </c>
      <c r="D68" s="20" t="s">
        <v>49</v>
      </c>
      <c r="E68" s="20" t="s">
        <v>66</v>
      </c>
      <c r="F68" s="20" t="s">
        <v>4</v>
      </c>
      <c r="G68" s="40">
        <f>G69</f>
        <v>551</v>
      </c>
      <c r="H68" s="40">
        <f t="shared" ref="H68:I69" si="27">H69</f>
        <v>551</v>
      </c>
      <c r="I68" s="40">
        <f t="shared" si="27"/>
        <v>551</v>
      </c>
      <c r="J68" s="1"/>
    </row>
    <row r="69" spans="1:10" ht="78.75" outlineLevel="6">
      <c r="A69" s="18" t="s">
        <v>67</v>
      </c>
      <c r="B69" s="19" t="s">
        <v>1</v>
      </c>
      <c r="C69" s="20" t="s">
        <v>6</v>
      </c>
      <c r="D69" s="20" t="s">
        <v>49</v>
      </c>
      <c r="E69" s="20" t="s">
        <v>68</v>
      </c>
      <c r="F69" s="20" t="s">
        <v>4</v>
      </c>
      <c r="G69" s="40">
        <f>G70</f>
        <v>551</v>
      </c>
      <c r="H69" s="40">
        <f t="shared" si="27"/>
        <v>551</v>
      </c>
      <c r="I69" s="40">
        <f t="shared" si="27"/>
        <v>551</v>
      </c>
      <c r="J69" s="1"/>
    </row>
    <row r="70" spans="1:10" ht="63" outlineLevel="7">
      <c r="A70" s="18" t="s">
        <v>27</v>
      </c>
      <c r="B70" s="19" t="s">
        <v>1</v>
      </c>
      <c r="C70" s="20" t="s">
        <v>6</v>
      </c>
      <c r="D70" s="20" t="s">
        <v>49</v>
      </c>
      <c r="E70" s="20" t="s">
        <v>68</v>
      </c>
      <c r="F70" s="20" t="s">
        <v>28</v>
      </c>
      <c r="G70" s="40">
        <v>551</v>
      </c>
      <c r="H70" s="40">
        <v>551</v>
      </c>
      <c r="I70" s="40">
        <v>551</v>
      </c>
      <c r="J70" s="1"/>
    </row>
    <row r="71" spans="1:10" ht="63" outlineLevel="5">
      <c r="A71" s="18" t="s">
        <v>69</v>
      </c>
      <c r="B71" s="19" t="s">
        <v>1</v>
      </c>
      <c r="C71" s="20" t="s">
        <v>6</v>
      </c>
      <c r="D71" s="20" t="s">
        <v>49</v>
      </c>
      <c r="E71" s="20" t="s">
        <v>70</v>
      </c>
      <c r="F71" s="20" t="s">
        <v>4</v>
      </c>
      <c r="G71" s="40">
        <f>G72+G78+G76</f>
        <v>37667.158229999994</v>
      </c>
      <c r="H71" s="40">
        <f t="shared" ref="H71:I71" si="28">H72+H78</f>
        <v>38002.699999999997</v>
      </c>
      <c r="I71" s="40">
        <f t="shared" si="28"/>
        <v>38002.699999999997</v>
      </c>
      <c r="J71" s="1"/>
    </row>
    <row r="72" spans="1:10" ht="63" outlineLevel="6">
      <c r="A72" s="18" t="s">
        <v>71</v>
      </c>
      <c r="B72" s="19" t="s">
        <v>1</v>
      </c>
      <c r="C72" s="20" t="s">
        <v>6</v>
      </c>
      <c r="D72" s="20" t="s">
        <v>49</v>
      </c>
      <c r="E72" s="20" t="s">
        <v>72</v>
      </c>
      <c r="F72" s="20" t="s">
        <v>4</v>
      </c>
      <c r="G72" s="40">
        <f>G73+G74+G75</f>
        <v>37100.239169999993</v>
      </c>
      <c r="H72" s="40">
        <f t="shared" ref="H72:I72" si="29">H73+H74+H75</f>
        <v>37503.699999999997</v>
      </c>
      <c r="I72" s="40">
        <f t="shared" si="29"/>
        <v>37503.699999999997</v>
      </c>
      <c r="J72" s="1"/>
    </row>
    <row r="73" spans="1:10" ht="129" customHeight="1" outlineLevel="7">
      <c r="A73" s="18" t="s">
        <v>17</v>
      </c>
      <c r="B73" s="19" t="s">
        <v>1</v>
      </c>
      <c r="C73" s="20" t="s">
        <v>6</v>
      </c>
      <c r="D73" s="20" t="s">
        <v>49</v>
      </c>
      <c r="E73" s="20" t="s">
        <v>72</v>
      </c>
      <c r="F73" s="20" t="s">
        <v>18</v>
      </c>
      <c r="G73" s="40">
        <f>34570.6+1244.6+516.2-1929-747</f>
        <v>33655.399999999994</v>
      </c>
      <c r="H73" s="40">
        <v>34570.400000000001</v>
      </c>
      <c r="I73" s="40">
        <v>34570.400000000001</v>
      </c>
      <c r="J73" s="1"/>
    </row>
    <row r="74" spans="1:10" ht="63" outlineLevel="7">
      <c r="A74" s="18" t="s">
        <v>27</v>
      </c>
      <c r="B74" s="19" t="s">
        <v>1</v>
      </c>
      <c r="C74" s="20" t="s">
        <v>6</v>
      </c>
      <c r="D74" s="20" t="s">
        <v>49</v>
      </c>
      <c r="E74" s="20" t="s">
        <v>72</v>
      </c>
      <c r="F74" s="20" t="s">
        <v>28</v>
      </c>
      <c r="G74" s="40">
        <f>2931.7+900-117.1-271.36083</f>
        <v>3443.2391699999998</v>
      </c>
      <c r="H74" s="40">
        <v>2931.7</v>
      </c>
      <c r="I74" s="40">
        <v>2931.7</v>
      </c>
      <c r="J74" s="1"/>
    </row>
    <row r="75" spans="1:10" ht="31.5" outlineLevel="7">
      <c r="A75" s="18" t="s">
        <v>63</v>
      </c>
      <c r="B75" s="19" t="s">
        <v>1</v>
      </c>
      <c r="C75" s="20" t="s">
        <v>6</v>
      </c>
      <c r="D75" s="20" t="s">
        <v>49</v>
      </c>
      <c r="E75" s="20" t="s">
        <v>72</v>
      </c>
      <c r="F75" s="20" t="s">
        <v>64</v>
      </c>
      <c r="G75" s="40">
        <v>1.6</v>
      </c>
      <c r="H75" s="40">
        <v>1.6</v>
      </c>
      <c r="I75" s="40">
        <v>1.6</v>
      </c>
      <c r="J75" s="1"/>
    </row>
    <row r="76" spans="1:10" ht="15.75" outlineLevel="7">
      <c r="A76" s="18" t="s">
        <v>697</v>
      </c>
      <c r="B76" s="19" t="s">
        <v>1</v>
      </c>
      <c r="C76" s="20" t="s">
        <v>6</v>
      </c>
      <c r="D76" s="20" t="s">
        <v>49</v>
      </c>
      <c r="E76" s="24">
        <v>1040510040</v>
      </c>
      <c r="F76" s="20" t="s">
        <v>4</v>
      </c>
      <c r="G76" s="40">
        <f>G77</f>
        <v>67.919059999999988</v>
      </c>
      <c r="H76" s="40">
        <f t="shared" ref="H76:I76" si="30">H77</f>
        <v>0</v>
      </c>
      <c r="I76" s="40">
        <f t="shared" si="30"/>
        <v>0</v>
      </c>
      <c r="J76" s="1"/>
    </row>
    <row r="77" spans="1:10" ht="31.5" outlineLevel="7">
      <c r="A77" s="18" t="s">
        <v>63</v>
      </c>
      <c r="B77" s="19" t="s">
        <v>1</v>
      </c>
      <c r="C77" s="20" t="s">
        <v>6</v>
      </c>
      <c r="D77" s="20" t="s">
        <v>49</v>
      </c>
      <c r="E77" s="24">
        <v>1040510040</v>
      </c>
      <c r="F77" s="20" t="s">
        <v>64</v>
      </c>
      <c r="G77" s="40">
        <f>15+51.11906+1.2+0.6</f>
        <v>67.919059999999988</v>
      </c>
      <c r="H77" s="40">
        <v>0</v>
      </c>
      <c r="I77" s="40">
        <v>0</v>
      </c>
      <c r="J77" s="1"/>
    </row>
    <row r="78" spans="1:10" ht="94.5" outlineLevel="6">
      <c r="A78" s="18" t="s">
        <v>73</v>
      </c>
      <c r="B78" s="19" t="s">
        <v>1</v>
      </c>
      <c r="C78" s="20" t="s">
        <v>6</v>
      </c>
      <c r="D78" s="20" t="s">
        <v>49</v>
      </c>
      <c r="E78" s="20" t="s">
        <v>74</v>
      </c>
      <c r="F78" s="20" t="s">
        <v>4</v>
      </c>
      <c r="G78" s="40">
        <f>G79</f>
        <v>499</v>
      </c>
      <c r="H78" s="40">
        <f t="shared" ref="H78:I78" si="31">H79</f>
        <v>499</v>
      </c>
      <c r="I78" s="40">
        <f t="shared" si="31"/>
        <v>499</v>
      </c>
      <c r="J78" s="1"/>
    </row>
    <row r="79" spans="1:10" ht="31.5" outlineLevel="7">
      <c r="A79" s="18" t="s">
        <v>42</v>
      </c>
      <c r="B79" s="19" t="s">
        <v>1</v>
      </c>
      <c r="C79" s="20" t="s">
        <v>6</v>
      </c>
      <c r="D79" s="20" t="s">
        <v>49</v>
      </c>
      <c r="E79" s="20" t="s">
        <v>74</v>
      </c>
      <c r="F79" s="20" t="s">
        <v>43</v>
      </c>
      <c r="G79" s="40">
        <v>499</v>
      </c>
      <c r="H79" s="40">
        <v>499</v>
      </c>
      <c r="I79" s="40">
        <v>499</v>
      </c>
      <c r="J79" s="1"/>
    </row>
    <row r="80" spans="1:10" ht="94.5" outlineLevel="3">
      <c r="A80" s="18" t="s">
        <v>75</v>
      </c>
      <c r="B80" s="19" t="s">
        <v>1</v>
      </c>
      <c r="C80" s="20" t="s">
        <v>6</v>
      </c>
      <c r="D80" s="20" t="s">
        <v>49</v>
      </c>
      <c r="E80" s="20" t="s">
        <v>76</v>
      </c>
      <c r="F80" s="20" t="s">
        <v>4</v>
      </c>
      <c r="G80" s="40">
        <f>G81</f>
        <v>5795.1749599999994</v>
      </c>
      <c r="H80" s="40">
        <f t="shared" ref="H80:I82" si="32">H81</f>
        <v>5356.2</v>
      </c>
      <c r="I80" s="40">
        <f t="shared" si="32"/>
        <v>5356.2</v>
      </c>
      <c r="J80" s="1"/>
    </row>
    <row r="81" spans="1:10" ht="31.5" outlineLevel="4">
      <c r="A81" s="18" t="s">
        <v>11</v>
      </c>
      <c r="B81" s="19" t="s">
        <v>1</v>
      </c>
      <c r="C81" s="20" t="s">
        <v>6</v>
      </c>
      <c r="D81" s="20" t="s">
        <v>49</v>
      </c>
      <c r="E81" s="20" t="s">
        <v>77</v>
      </c>
      <c r="F81" s="20" t="s">
        <v>4</v>
      </c>
      <c r="G81" s="40">
        <f>G82</f>
        <v>5795.1749599999994</v>
      </c>
      <c r="H81" s="40">
        <f t="shared" si="32"/>
        <v>5356.2</v>
      </c>
      <c r="I81" s="40">
        <f t="shared" si="32"/>
        <v>5356.2</v>
      </c>
      <c r="J81" s="1"/>
    </row>
    <row r="82" spans="1:10" ht="63" outlineLevel="5">
      <c r="A82" s="18" t="s">
        <v>69</v>
      </c>
      <c r="B82" s="19" t="s">
        <v>1</v>
      </c>
      <c r="C82" s="20" t="s">
        <v>6</v>
      </c>
      <c r="D82" s="20" t="s">
        <v>49</v>
      </c>
      <c r="E82" s="20" t="s">
        <v>78</v>
      </c>
      <c r="F82" s="20" t="s">
        <v>4</v>
      </c>
      <c r="G82" s="40">
        <f>G83</f>
        <v>5795.1749599999994</v>
      </c>
      <c r="H82" s="40">
        <f t="shared" si="32"/>
        <v>5356.2</v>
      </c>
      <c r="I82" s="40">
        <f t="shared" si="32"/>
        <v>5356.2</v>
      </c>
      <c r="J82" s="1"/>
    </row>
    <row r="83" spans="1:10" ht="63" outlineLevel="6">
      <c r="A83" s="18" t="s">
        <v>71</v>
      </c>
      <c r="B83" s="19" t="s">
        <v>1</v>
      </c>
      <c r="C83" s="20" t="s">
        <v>6</v>
      </c>
      <c r="D83" s="20" t="s">
        <v>49</v>
      </c>
      <c r="E83" s="20" t="s">
        <v>79</v>
      </c>
      <c r="F83" s="20" t="s">
        <v>4</v>
      </c>
      <c r="G83" s="40">
        <f>G84+G85</f>
        <v>5795.1749599999994</v>
      </c>
      <c r="H83" s="40">
        <f t="shared" ref="H83:I83" si="33">H84+H85</f>
        <v>5356.2</v>
      </c>
      <c r="I83" s="40">
        <f t="shared" si="33"/>
        <v>5356.2</v>
      </c>
      <c r="J83" s="1"/>
    </row>
    <row r="84" spans="1:10" ht="129" customHeight="1" outlineLevel="7">
      <c r="A84" s="18" t="s">
        <v>17</v>
      </c>
      <c r="B84" s="19" t="s">
        <v>1</v>
      </c>
      <c r="C84" s="20" t="s">
        <v>6</v>
      </c>
      <c r="D84" s="20" t="s">
        <v>49</v>
      </c>
      <c r="E84" s="20" t="s">
        <v>79</v>
      </c>
      <c r="F84" s="20" t="s">
        <v>18</v>
      </c>
      <c r="G84" s="40">
        <f>3785.1+84.7+156+58+212.06796</f>
        <v>4295.8679599999996</v>
      </c>
      <c r="H84" s="40">
        <v>3785.1</v>
      </c>
      <c r="I84" s="40">
        <v>3785.1</v>
      </c>
      <c r="J84" s="1"/>
    </row>
    <row r="85" spans="1:10" ht="63" outlineLevel="7">
      <c r="A85" s="18" t="s">
        <v>27</v>
      </c>
      <c r="B85" s="19" t="s">
        <v>1</v>
      </c>
      <c r="C85" s="20" t="s">
        <v>6</v>
      </c>
      <c r="D85" s="20" t="s">
        <v>49</v>
      </c>
      <c r="E85" s="20" t="s">
        <v>79</v>
      </c>
      <c r="F85" s="20" t="s">
        <v>28</v>
      </c>
      <c r="G85" s="40">
        <f>1571.1-100-70+52+46.207</f>
        <v>1499.307</v>
      </c>
      <c r="H85" s="40">
        <v>1571.1</v>
      </c>
      <c r="I85" s="40">
        <v>1571.1</v>
      </c>
      <c r="J85" s="1"/>
    </row>
    <row r="86" spans="1:10" ht="63" outlineLevel="1">
      <c r="A86" s="12" t="s">
        <v>80</v>
      </c>
      <c r="B86" s="13" t="s">
        <v>1</v>
      </c>
      <c r="C86" s="14" t="s">
        <v>81</v>
      </c>
      <c r="D86" s="14" t="s">
        <v>2</v>
      </c>
      <c r="E86" s="14" t="s">
        <v>3</v>
      </c>
      <c r="F86" s="14" t="s">
        <v>4</v>
      </c>
      <c r="G86" s="38">
        <f>G87+G98</f>
        <v>6015.2000000000007</v>
      </c>
      <c r="H86" s="38">
        <f t="shared" ref="H86:I86" si="34">H87+H98</f>
        <v>5091</v>
      </c>
      <c r="I86" s="38">
        <f t="shared" si="34"/>
        <v>5091</v>
      </c>
      <c r="J86" s="1"/>
    </row>
    <row r="87" spans="1:10" ht="15.75" outlineLevel="2">
      <c r="A87" s="15" t="s">
        <v>82</v>
      </c>
      <c r="B87" s="16" t="s">
        <v>1</v>
      </c>
      <c r="C87" s="17" t="s">
        <v>81</v>
      </c>
      <c r="D87" s="17" t="s">
        <v>20</v>
      </c>
      <c r="E87" s="17" t="s">
        <v>3</v>
      </c>
      <c r="F87" s="17" t="s">
        <v>4</v>
      </c>
      <c r="G87" s="39">
        <f>G88+G94</f>
        <v>5525.2000000000007</v>
      </c>
      <c r="H87" s="39">
        <f t="shared" ref="H87:I90" si="35">H88</f>
        <v>4601</v>
      </c>
      <c r="I87" s="39">
        <f t="shared" si="35"/>
        <v>4601</v>
      </c>
      <c r="J87" s="1"/>
    </row>
    <row r="88" spans="1:10" ht="47.25" outlineLevel="3">
      <c r="A88" s="18" t="s">
        <v>9</v>
      </c>
      <c r="B88" s="19" t="s">
        <v>1</v>
      </c>
      <c r="C88" s="20" t="s">
        <v>81</v>
      </c>
      <c r="D88" s="20" t="s">
        <v>20</v>
      </c>
      <c r="E88" s="20" t="s">
        <v>10</v>
      </c>
      <c r="F88" s="20" t="s">
        <v>4</v>
      </c>
      <c r="G88" s="40">
        <f>G89</f>
        <v>5417.0000000000009</v>
      </c>
      <c r="H88" s="40">
        <f t="shared" si="35"/>
        <v>4601</v>
      </c>
      <c r="I88" s="40">
        <f t="shared" si="35"/>
        <v>4601</v>
      </c>
      <c r="J88" s="1"/>
    </row>
    <row r="89" spans="1:10" ht="31.5" outlineLevel="4">
      <c r="A89" s="18" t="s">
        <v>11</v>
      </c>
      <c r="B89" s="19" t="s">
        <v>1</v>
      </c>
      <c r="C89" s="20" t="s">
        <v>81</v>
      </c>
      <c r="D89" s="20" t="s">
        <v>20</v>
      </c>
      <c r="E89" s="20" t="s">
        <v>12</v>
      </c>
      <c r="F89" s="20" t="s">
        <v>4</v>
      </c>
      <c r="G89" s="40">
        <f>G90</f>
        <v>5417.0000000000009</v>
      </c>
      <c r="H89" s="40">
        <f t="shared" si="35"/>
        <v>4601</v>
      </c>
      <c r="I89" s="40">
        <f t="shared" si="35"/>
        <v>4601</v>
      </c>
      <c r="J89" s="1"/>
    </row>
    <row r="90" spans="1:10" ht="94.5" outlineLevel="5">
      <c r="A90" s="18" t="s">
        <v>23</v>
      </c>
      <c r="B90" s="19" t="s">
        <v>1</v>
      </c>
      <c r="C90" s="20" t="s">
        <v>81</v>
      </c>
      <c r="D90" s="20" t="s">
        <v>20</v>
      </c>
      <c r="E90" s="20" t="s">
        <v>24</v>
      </c>
      <c r="F90" s="20" t="s">
        <v>4</v>
      </c>
      <c r="G90" s="40">
        <f>G91</f>
        <v>5417.0000000000009</v>
      </c>
      <c r="H90" s="40">
        <f t="shared" si="35"/>
        <v>4601</v>
      </c>
      <c r="I90" s="40">
        <f t="shared" si="35"/>
        <v>4601</v>
      </c>
      <c r="J90" s="1"/>
    </row>
    <row r="91" spans="1:10" ht="63" outlineLevel="6">
      <c r="A91" s="18" t="s">
        <v>83</v>
      </c>
      <c r="B91" s="19" t="s">
        <v>1</v>
      </c>
      <c r="C91" s="20" t="s">
        <v>81</v>
      </c>
      <c r="D91" s="20" t="s">
        <v>20</v>
      </c>
      <c r="E91" s="20" t="s">
        <v>84</v>
      </c>
      <c r="F91" s="20" t="s">
        <v>4</v>
      </c>
      <c r="G91" s="40">
        <f>G92+G93</f>
        <v>5417.0000000000009</v>
      </c>
      <c r="H91" s="40">
        <f t="shared" ref="H91:I91" si="36">H92+H93</f>
        <v>4601</v>
      </c>
      <c r="I91" s="40">
        <f t="shared" si="36"/>
        <v>4601</v>
      </c>
      <c r="J91" s="1"/>
    </row>
    <row r="92" spans="1:10" ht="126" customHeight="1" outlineLevel="7">
      <c r="A92" s="18" t="s">
        <v>17</v>
      </c>
      <c r="B92" s="19" t="s">
        <v>1</v>
      </c>
      <c r="C92" s="20" t="s">
        <v>81</v>
      </c>
      <c r="D92" s="20" t="s">
        <v>20</v>
      </c>
      <c r="E92" s="20" t="s">
        <v>84</v>
      </c>
      <c r="F92" s="20" t="s">
        <v>18</v>
      </c>
      <c r="G92" s="40">
        <f>3852.3+138+22+556-25.99-5-6.5-159.90543</f>
        <v>4370.9045700000006</v>
      </c>
      <c r="H92" s="40">
        <v>3852.1</v>
      </c>
      <c r="I92" s="40">
        <v>3852.1</v>
      </c>
      <c r="J92" s="1"/>
    </row>
    <row r="93" spans="1:10" ht="63" outlineLevel="7">
      <c r="A93" s="18" t="s">
        <v>27</v>
      </c>
      <c r="B93" s="19" t="s">
        <v>1</v>
      </c>
      <c r="C93" s="20" t="s">
        <v>81</v>
      </c>
      <c r="D93" s="20" t="s">
        <v>20</v>
      </c>
      <c r="E93" s="20" t="s">
        <v>84</v>
      </c>
      <c r="F93" s="20" t="s">
        <v>28</v>
      </c>
      <c r="G93" s="40">
        <f>748.7+100+25.99+5+6.5+159.90543</f>
        <v>1046.0954300000001</v>
      </c>
      <c r="H93" s="40">
        <v>748.9</v>
      </c>
      <c r="I93" s="40">
        <v>748.9</v>
      </c>
      <c r="J93" s="1"/>
    </row>
    <row r="94" spans="1:10" ht="31.5" outlineLevel="7">
      <c r="A94" s="18" t="s">
        <v>140</v>
      </c>
      <c r="B94" s="19" t="s">
        <v>1</v>
      </c>
      <c r="C94" s="20" t="s">
        <v>81</v>
      </c>
      <c r="D94" s="20" t="s">
        <v>20</v>
      </c>
      <c r="E94" s="20" t="s">
        <v>141</v>
      </c>
      <c r="F94" s="20" t="s">
        <v>4</v>
      </c>
      <c r="G94" s="40">
        <f t="shared" ref="G94:G95" si="37">G95</f>
        <v>108.2</v>
      </c>
      <c r="H94" s="40">
        <f t="shared" ref="H94:H95" si="38">H95</f>
        <v>0</v>
      </c>
      <c r="I94" s="40">
        <f t="shared" ref="I94:I95" si="39">I95</f>
        <v>0</v>
      </c>
      <c r="J94" s="1"/>
    </row>
    <row r="95" spans="1:10" ht="15.75" outlineLevel="7">
      <c r="A95" s="18" t="s">
        <v>142</v>
      </c>
      <c r="B95" s="19" t="s">
        <v>1</v>
      </c>
      <c r="C95" s="20" t="s">
        <v>81</v>
      </c>
      <c r="D95" s="20" t="s">
        <v>20</v>
      </c>
      <c r="E95" s="20" t="s">
        <v>143</v>
      </c>
      <c r="F95" s="20" t="s">
        <v>4</v>
      </c>
      <c r="G95" s="40">
        <f t="shared" si="37"/>
        <v>108.2</v>
      </c>
      <c r="H95" s="40">
        <f t="shared" si="38"/>
        <v>0</v>
      </c>
      <c r="I95" s="40">
        <f t="shared" si="39"/>
        <v>0</v>
      </c>
      <c r="J95" s="1"/>
    </row>
    <row r="96" spans="1:10" ht="94.5" outlineLevel="7">
      <c r="A96" s="21" t="s">
        <v>769</v>
      </c>
      <c r="B96" s="22" t="s">
        <v>1</v>
      </c>
      <c r="C96" s="20" t="s">
        <v>81</v>
      </c>
      <c r="D96" s="20" t="s">
        <v>20</v>
      </c>
      <c r="E96" s="23">
        <v>9990055491</v>
      </c>
      <c r="F96" s="19" t="s">
        <v>4</v>
      </c>
      <c r="G96" s="40">
        <f>G97</f>
        <v>108.2</v>
      </c>
      <c r="H96" s="40">
        <f>H97</f>
        <v>0</v>
      </c>
      <c r="I96" s="40">
        <f>I97</f>
        <v>0</v>
      </c>
      <c r="J96" s="1"/>
    </row>
    <row r="97" spans="1:10" ht="130.5" customHeight="1" outlineLevel="7">
      <c r="A97" s="18" t="s">
        <v>17</v>
      </c>
      <c r="B97" s="19" t="s">
        <v>1</v>
      </c>
      <c r="C97" s="20" t="s">
        <v>81</v>
      </c>
      <c r="D97" s="20" t="s">
        <v>20</v>
      </c>
      <c r="E97" s="23">
        <v>9990055491</v>
      </c>
      <c r="F97" s="19" t="s">
        <v>18</v>
      </c>
      <c r="G97" s="40">
        <v>108.2</v>
      </c>
      <c r="H97" s="40">
        <v>0</v>
      </c>
      <c r="I97" s="40">
        <v>0</v>
      </c>
      <c r="J97" s="1"/>
    </row>
    <row r="98" spans="1:10" ht="47.25" outlineLevel="2">
      <c r="A98" s="15" t="s">
        <v>85</v>
      </c>
      <c r="B98" s="16" t="s">
        <v>1</v>
      </c>
      <c r="C98" s="17" t="s">
        <v>81</v>
      </c>
      <c r="D98" s="17" t="s">
        <v>86</v>
      </c>
      <c r="E98" s="17" t="s">
        <v>3</v>
      </c>
      <c r="F98" s="17" t="s">
        <v>4</v>
      </c>
      <c r="G98" s="39">
        <f>G99</f>
        <v>490</v>
      </c>
      <c r="H98" s="39">
        <f t="shared" ref="H98:I101" si="40">H99</f>
        <v>490</v>
      </c>
      <c r="I98" s="39">
        <f t="shared" si="40"/>
        <v>490</v>
      </c>
      <c r="J98" s="1"/>
    </row>
    <row r="99" spans="1:10" ht="47.25" outlineLevel="3">
      <c r="A99" s="18" t="s">
        <v>9</v>
      </c>
      <c r="B99" s="19" t="s">
        <v>1</v>
      </c>
      <c r="C99" s="20" t="s">
        <v>81</v>
      </c>
      <c r="D99" s="20" t="s">
        <v>86</v>
      </c>
      <c r="E99" s="20" t="s">
        <v>10</v>
      </c>
      <c r="F99" s="20" t="s">
        <v>4</v>
      </c>
      <c r="G99" s="40">
        <f>G100</f>
        <v>490</v>
      </c>
      <c r="H99" s="40">
        <f t="shared" si="40"/>
        <v>490</v>
      </c>
      <c r="I99" s="40">
        <f t="shared" si="40"/>
        <v>490</v>
      </c>
      <c r="J99" s="1"/>
    </row>
    <row r="100" spans="1:10" ht="31.5" outlineLevel="4">
      <c r="A100" s="18" t="s">
        <v>11</v>
      </c>
      <c r="B100" s="19" t="s">
        <v>1</v>
      </c>
      <c r="C100" s="20" t="s">
        <v>81</v>
      </c>
      <c r="D100" s="20" t="s">
        <v>86</v>
      </c>
      <c r="E100" s="20" t="s">
        <v>12</v>
      </c>
      <c r="F100" s="20" t="s">
        <v>4</v>
      </c>
      <c r="G100" s="40">
        <f>G101</f>
        <v>490</v>
      </c>
      <c r="H100" s="40">
        <f t="shared" si="40"/>
        <v>490</v>
      </c>
      <c r="I100" s="40">
        <f t="shared" si="40"/>
        <v>490</v>
      </c>
      <c r="J100" s="1"/>
    </row>
    <row r="101" spans="1:10" ht="47.25" outlineLevel="5">
      <c r="A101" s="18" t="s">
        <v>87</v>
      </c>
      <c r="B101" s="19" t="s">
        <v>1</v>
      </c>
      <c r="C101" s="20" t="s">
        <v>81</v>
      </c>
      <c r="D101" s="20" t="s">
        <v>86</v>
      </c>
      <c r="E101" s="20" t="s">
        <v>88</v>
      </c>
      <c r="F101" s="20" t="s">
        <v>4</v>
      </c>
      <c r="G101" s="40">
        <f>G102</f>
        <v>490</v>
      </c>
      <c r="H101" s="40">
        <f t="shared" si="40"/>
        <v>490</v>
      </c>
      <c r="I101" s="40">
        <f t="shared" si="40"/>
        <v>490</v>
      </c>
      <c r="J101" s="1"/>
    </row>
    <row r="102" spans="1:10" ht="31.5" outlineLevel="6">
      <c r="A102" s="18" t="s">
        <v>89</v>
      </c>
      <c r="B102" s="19" t="s">
        <v>1</v>
      </c>
      <c r="C102" s="20" t="s">
        <v>81</v>
      </c>
      <c r="D102" s="20" t="s">
        <v>86</v>
      </c>
      <c r="E102" s="20" t="s">
        <v>90</v>
      </c>
      <c r="F102" s="20" t="s">
        <v>4</v>
      </c>
      <c r="G102" s="40">
        <f>G103</f>
        <v>490</v>
      </c>
      <c r="H102" s="40">
        <f t="shared" ref="H102:I102" si="41">H103</f>
        <v>490</v>
      </c>
      <c r="I102" s="40">
        <f t="shared" si="41"/>
        <v>490</v>
      </c>
      <c r="J102" s="1"/>
    </row>
    <row r="103" spans="1:10" ht="31.5" outlineLevel="7">
      <c r="A103" s="18" t="s">
        <v>42</v>
      </c>
      <c r="B103" s="19" t="s">
        <v>1</v>
      </c>
      <c r="C103" s="20" t="s">
        <v>81</v>
      </c>
      <c r="D103" s="20" t="s">
        <v>86</v>
      </c>
      <c r="E103" s="20" t="s">
        <v>90</v>
      </c>
      <c r="F103" s="20" t="s">
        <v>43</v>
      </c>
      <c r="G103" s="40">
        <v>490</v>
      </c>
      <c r="H103" s="40">
        <v>490</v>
      </c>
      <c r="I103" s="40">
        <v>490</v>
      </c>
      <c r="J103" s="1"/>
    </row>
    <row r="104" spans="1:10" ht="31.5" outlineLevel="1">
      <c r="A104" s="12" t="s">
        <v>91</v>
      </c>
      <c r="B104" s="13" t="s">
        <v>1</v>
      </c>
      <c r="C104" s="14" t="s">
        <v>20</v>
      </c>
      <c r="D104" s="14" t="s">
        <v>2</v>
      </c>
      <c r="E104" s="14" t="s">
        <v>3</v>
      </c>
      <c r="F104" s="14" t="s">
        <v>4</v>
      </c>
      <c r="G104" s="38">
        <f>G105</f>
        <v>8585.3699099999994</v>
      </c>
      <c r="H104" s="38">
        <f t="shared" ref="H104:I105" si="42">H105</f>
        <v>3343.54</v>
      </c>
      <c r="I104" s="38">
        <f t="shared" si="42"/>
        <v>3343.54</v>
      </c>
      <c r="J104" s="1"/>
    </row>
    <row r="105" spans="1:10" ht="31.5" outlineLevel="2">
      <c r="A105" s="15" t="s">
        <v>92</v>
      </c>
      <c r="B105" s="16" t="s">
        <v>1</v>
      </c>
      <c r="C105" s="17" t="s">
        <v>20</v>
      </c>
      <c r="D105" s="17" t="s">
        <v>93</v>
      </c>
      <c r="E105" s="17" t="s">
        <v>3</v>
      </c>
      <c r="F105" s="17" t="s">
        <v>4</v>
      </c>
      <c r="G105" s="39">
        <f>G106</f>
        <v>8585.3699099999994</v>
      </c>
      <c r="H105" s="39">
        <f t="shared" si="42"/>
        <v>3343.54</v>
      </c>
      <c r="I105" s="39">
        <f t="shared" si="42"/>
        <v>3343.54</v>
      </c>
      <c r="J105" s="1"/>
    </row>
    <row r="106" spans="1:10" ht="47.25" outlineLevel="3">
      <c r="A106" s="18" t="s">
        <v>9</v>
      </c>
      <c r="B106" s="19" t="s">
        <v>1</v>
      </c>
      <c r="C106" s="20" t="s">
        <v>20</v>
      </c>
      <c r="D106" s="20" t="s">
        <v>93</v>
      </c>
      <c r="E106" s="20" t="s">
        <v>10</v>
      </c>
      <c r="F106" s="20" t="s">
        <v>4</v>
      </c>
      <c r="G106" s="40">
        <f>G107+G116</f>
        <v>8585.3699099999994</v>
      </c>
      <c r="H106" s="40">
        <f t="shared" ref="H106:I106" si="43">H107+H116</f>
        <v>3343.54</v>
      </c>
      <c r="I106" s="40">
        <f t="shared" si="43"/>
        <v>3343.54</v>
      </c>
      <c r="J106" s="1"/>
    </row>
    <row r="107" spans="1:10" ht="47.25" outlineLevel="4">
      <c r="A107" s="18" t="s">
        <v>94</v>
      </c>
      <c r="B107" s="19" t="s">
        <v>1</v>
      </c>
      <c r="C107" s="20" t="s">
        <v>20</v>
      </c>
      <c r="D107" s="20" t="s">
        <v>93</v>
      </c>
      <c r="E107" s="20" t="s">
        <v>95</v>
      </c>
      <c r="F107" s="20" t="s">
        <v>4</v>
      </c>
      <c r="G107" s="40">
        <f>G108+G113</f>
        <v>5166.7</v>
      </c>
      <c r="H107" s="40">
        <f t="shared" ref="H107:I107" si="44">H108</f>
        <v>459.8</v>
      </c>
      <c r="I107" s="40">
        <f t="shared" si="44"/>
        <v>459.8</v>
      </c>
      <c r="J107" s="1"/>
    </row>
    <row r="108" spans="1:10" ht="126" outlineLevel="5">
      <c r="A108" s="18" t="s">
        <v>96</v>
      </c>
      <c r="B108" s="19" t="s">
        <v>1</v>
      </c>
      <c r="C108" s="20" t="s">
        <v>20</v>
      </c>
      <c r="D108" s="20" t="s">
        <v>93</v>
      </c>
      <c r="E108" s="20" t="s">
        <v>97</v>
      </c>
      <c r="F108" s="20" t="s">
        <v>4</v>
      </c>
      <c r="G108" s="40">
        <f>G109+G111</f>
        <v>1166.7</v>
      </c>
      <c r="H108" s="40">
        <f t="shared" ref="H108:I108" si="45">H109+H111</f>
        <v>459.8</v>
      </c>
      <c r="I108" s="40">
        <f t="shared" si="45"/>
        <v>459.8</v>
      </c>
      <c r="J108" s="1"/>
    </row>
    <row r="109" spans="1:10" ht="47.25" outlineLevel="6">
      <c r="A109" s="18" t="s">
        <v>98</v>
      </c>
      <c r="B109" s="19" t="s">
        <v>1</v>
      </c>
      <c r="C109" s="20" t="s">
        <v>20</v>
      </c>
      <c r="D109" s="20" t="s">
        <v>93</v>
      </c>
      <c r="E109" s="20" t="s">
        <v>99</v>
      </c>
      <c r="F109" s="20" t="s">
        <v>4</v>
      </c>
      <c r="G109" s="40">
        <f>G110</f>
        <v>1015</v>
      </c>
      <c r="H109" s="40">
        <f t="shared" ref="H109:I109" si="46">H110</f>
        <v>400</v>
      </c>
      <c r="I109" s="40">
        <f t="shared" si="46"/>
        <v>400</v>
      </c>
      <c r="J109" s="1"/>
    </row>
    <row r="110" spans="1:10" ht="63" outlineLevel="7">
      <c r="A110" s="18" t="s">
        <v>27</v>
      </c>
      <c r="B110" s="19" t="s">
        <v>1</v>
      </c>
      <c r="C110" s="20" t="s">
        <v>20</v>
      </c>
      <c r="D110" s="20" t="s">
        <v>93</v>
      </c>
      <c r="E110" s="20" t="s">
        <v>99</v>
      </c>
      <c r="F110" s="20" t="s">
        <v>28</v>
      </c>
      <c r="G110" s="40">
        <v>1015</v>
      </c>
      <c r="H110" s="40">
        <v>400</v>
      </c>
      <c r="I110" s="40">
        <v>400</v>
      </c>
      <c r="J110" s="1"/>
    </row>
    <row r="111" spans="1:10" ht="74.25" customHeight="1" outlineLevel="6">
      <c r="A111" s="18" t="s">
        <v>98</v>
      </c>
      <c r="B111" s="19" t="s">
        <v>1</v>
      </c>
      <c r="C111" s="20" t="s">
        <v>20</v>
      </c>
      <c r="D111" s="20" t="s">
        <v>93</v>
      </c>
      <c r="E111" s="20" t="s">
        <v>100</v>
      </c>
      <c r="F111" s="20" t="s">
        <v>4</v>
      </c>
      <c r="G111" s="40">
        <f>G112</f>
        <v>151.69999999999999</v>
      </c>
      <c r="H111" s="40">
        <f t="shared" ref="H111:I111" si="47">H112</f>
        <v>59.8</v>
      </c>
      <c r="I111" s="40">
        <f t="shared" si="47"/>
        <v>59.8</v>
      </c>
      <c r="J111" s="1"/>
    </row>
    <row r="112" spans="1:10" ht="63" outlineLevel="7">
      <c r="A112" s="18" t="s">
        <v>27</v>
      </c>
      <c r="B112" s="19" t="s">
        <v>1</v>
      </c>
      <c r="C112" s="20" t="s">
        <v>20</v>
      </c>
      <c r="D112" s="20" t="s">
        <v>93</v>
      </c>
      <c r="E112" s="20" t="s">
        <v>100</v>
      </c>
      <c r="F112" s="20" t="s">
        <v>28</v>
      </c>
      <c r="G112" s="40">
        <v>151.69999999999999</v>
      </c>
      <c r="H112" s="40">
        <v>59.8</v>
      </c>
      <c r="I112" s="40">
        <v>59.8</v>
      </c>
      <c r="J112" s="1"/>
    </row>
    <row r="113" spans="1:10" ht="63" outlineLevel="7">
      <c r="A113" s="25" t="s">
        <v>743</v>
      </c>
      <c r="B113" s="19" t="s">
        <v>1</v>
      </c>
      <c r="C113" s="20" t="s">
        <v>20</v>
      </c>
      <c r="D113" s="20" t="s">
        <v>93</v>
      </c>
      <c r="E113" s="23">
        <v>1020200000</v>
      </c>
      <c r="F113" s="20" t="s">
        <v>4</v>
      </c>
      <c r="G113" s="40">
        <f>G114</f>
        <v>4000</v>
      </c>
      <c r="H113" s="40">
        <f t="shared" ref="H113:I114" si="48">H114</f>
        <v>0</v>
      </c>
      <c r="I113" s="40">
        <f t="shared" si="48"/>
        <v>0</v>
      </c>
      <c r="J113" s="1"/>
    </row>
    <row r="114" spans="1:10" ht="47.25" outlineLevel="7">
      <c r="A114" s="25" t="s">
        <v>744</v>
      </c>
      <c r="B114" s="19" t="s">
        <v>1</v>
      </c>
      <c r="C114" s="20" t="s">
        <v>20</v>
      </c>
      <c r="D114" s="20" t="s">
        <v>93</v>
      </c>
      <c r="E114" s="23">
        <v>1020271990</v>
      </c>
      <c r="F114" s="20" t="s">
        <v>4</v>
      </c>
      <c r="G114" s="40">
        <f>G115</f>
        <v>4000</v>
      </c>
      <c r="H114" s="40">
        <f t="shared" si="48"/>
        <v>0</v>
      </c>
      <c r="I114" s="40">
        <f t="shared" si="48"/>
        <v>0</v>
      </c>
      <c r="J114" s="1"/>
    </row>
    <row r="115" spans="1:10" ht="98.25" customHeight="1" outlineLevel="7">
      <c r="A115" s="18" t="s">
        <v>103</v>
      </c>
      <c r="B115" s="19" t="s">
        <v>1</v>
      </c>
      <c r="C115" s="20" t="s">
        <v>20</v>
      </c>
      <c r="D115" s="20" t="s">
        <v>93</v>
      </c>
      <c r="E115" s="23">
        <v>1020271990</v>
      </c>
      <c r="F115" s="19" t="s">
        <v>104</v>
      </c>
      <c r="G115" s="40">
        <f>9000-5000</f>
        <v>4000</v>
      </c>
      <c r="H115" s="40">
        <v>0</v>
      </c>
      <c r="I115" s="40">
        <v>0</v>
      </c>
      <c r="J115" s="1"/>
    </row>
    <row r="116" spans="1:10" ht="31.5" outlineLevel="4">
      <c r="A116" s="18" t="s">
        <v>11</v>
      </c>
      <c r="B116" s="19" t="s">
        <v>1</v>
      </c>
      <c r="C116" s="20" t="s">
        <v>20</v>
      </c>
      <c r="D116" s="20" t="s">
        <v>93</v>
      </c>
      <c r="E116" s="20" t="s">
        <v>12</v>
      </c>
      <c r="F116" s="20" t="s">
        <v>4</v>
      </c>
      <c r="G116" s="40">
        <f>G117</f>
        <v>3418.6699099999996</v>
      </c>
      <c r="H116" s="40">
        <f t="shared" ref="H116:I118" si="49">H117</f>
        <v>2883.74</v>
      </c>
      <c r="I116" s="40">
        <f t="shared" si="49"/>
        <v>2883.74</v>
      </c>
      <c r="J116" s="1"/>
    </row>
    <row r="117" spans="1:10" ht="63" outlineLevel="5">
      <c r="A117" s="18" t="s">
        <v>69</v>
      </c>
      <c r="B117" s="19" t="s">
        <v>1</v>
      </c>
      <c r="C117" s="20" t="s">
        <v>20</v>
      </c>
      <c r="D117" s="20" t="s">
        <v>93</v>
      </c>
      <c r="E117" s="20" t="s">
        <v>70</v>
      </c>
      <c r="F117" s="20" t="s">
        <v>4</v>
      </c>
      <c r="G117" s="40">
        <f>G118</f>
        <v>3418.6699099999996</v>
      </c>
      <c r="H117" s="40">
        <f t="shared" si="49"/>
        <v>2883.74</v>
      </c>
      <c r="I117" s="40">
        <f t="shared" si="49"/>
        <v>2883.74</v>
      </c>
      <c r="J117" s="1"/>
    </row>
    <row r="118" spans="1:10" ht="63" outlineLevel="6">
      <c r="A118" s="18" t="s">
        <v>101</v>
      </c>
      <c r="B118" s="19" t="s">
        <v>1</v>
      </c>
      <c r="C118" s="20" t="s">
        <v>20</v>
      </c>
      <c r="D118" s="20" t="s">
        <v>93</v>
      </c>
      <c r="E118" s="20" t="s">
        <v>102</v>
      </c>
      <c r="F118" s="20" t="s">
        <v>4</v>
      </c>
      <c r="G118" s="40">
        <f>G119</f>
        <v>3418.6699099999996</v>
      </c>
      <c r="H118" s="40">
        <f t="shared" si="49"/>
        <v>2883.74</v>
      </c>
      <c r="I118" s="40">
        <f t="shared" si="49"/>
        <v>2883.74</v>
      </c>
      <c r="J118" s="1"/>
    </row>
    <row r="119" spans="1:10" ht="64.5" customHeight="1" outlineLevel="7">
      <c r="A119" s="18" t="s">
        <v>103</v>
      </c>
      <c r="B119" s="19" t="s">
        <v>1</v>
      </c>
      <c r="C119" s="20" t="s">
        <v>20</v>
      </c>
      <c r="D119" s="20" t="s">
        <v>93</v>
      </c>
      <c r="E119" s="20" t="s">
        <v>102</v>
      </c>
      <c r="F119" s="20" t="s">
        <v>104</v>
      </c>
      <c r="G119" s="40">
        <f>2883.74+67+27.7+440.22991</f>
        <v>3418.6699099999996</v>
      </c>
      <c r="H119" s="40">
        <v>2883.74</v>
      </c>
      <c r="I119" s="40">
        <v>2883.74</v>
      </c>
      <c r="J119" s="1"/>
    </row>
    <row r="120" spans="1:10" ht="15.75" outlineLevel="1">
      <c r="A120" s="12" t="s">
        <v>105</v>
      </c>
      <c r="B120" s="13" t="s">
        <v>1</v>
      </c>
      <c r="C120" s="14" t="s">
        <v>106</v>
      </c>
      <c r="D120" s="14" t="s">
        <v>2</v>
      </c>
      <c r="E120" s="14" t="s">
        <v>3</v>
      </c>
      <c r="F120" s="14" t="s">
        <v>4</v>
      </c>
      <c r="G120" s="38">
        <f>G121+G127</f>
        <v>6399.3590000000004</v>
      </c>
      <c r="H120" s="38">
        <f t="shared" ref="H120:I120" si="50">H121+H127</f>
        <v>6400.5</v>
      </c>
      <c r="I120" s="38">
        <f t="shared" si="50"/>
        <v>6400.5</v>
      </c>
      <c r="J120" s="1"/>
    </row>
    <row r="121" spans="1:10" ht="15.75" outlineLevel="2">
      <c r="A121" s="15" t="s">
        <v>107</v>
      </c>
      <c r="B121" s="16" t="s">
        <v>1</v>
      </c>
      <c r="C121" s="17" t="s">
        <v>106</v>
      </c>
      <c r="D121" s="17" t="s">
        <v>6</v>
      </c>
      <c r="E121" s="17" t="s">
        <v>3</v>
      </c>
      <c r="F121" s="17" t="s">
        <v>4</v>
      </c>
      <c r="G121" s="39">
        <f>G122</f>
        <v>5603.4660000000003</v>
      </c>
      <c r="H121" s="39">
        <f t="shared" ref="H121:I125" si="51">H122</f>
        <v>5793.5</v>
      </c>
      <c r="I121" s="39">
        <f t="shared" si="51"/>
        <v>5793.5</v>
      </c>
      <c r="J121" s="1"/>
    </row>
    <row r="122" spans="1:10" ht="47.25" outlineLevel="3">
      <c r="A122" s="18" t="s">
        <v>31</v>
      </c>
      <c r="B122" s="19" t="s">
        <v>1</v>
      </c>
      <c r="C122" s="20" t="s">
        <v>106</v>
      </c>
      <c r="D122" s="20" t="s">
        <v>6</v>
      </c>
      <c r="E122" s="20" t="s">
        <v>32</v>
      </c>
      <c r="F122" s="20" t="s">
        <v>4</v>
      </c>
      <c r="G122" s="40">
        <f>G123</f>
        <v>5603.4660000000003</v>
      </c>
      <c r="H122" s="40">
        <f t="shared" si="51"/>
        <v>5793.5</v>
      </c>
      <c r="I122" s="40">
        <f t="shared" si="51"/>
        <v>5793.5</v>
      </c>
      <c r="J122" s="1"/>
    </row>
    <row r="123" spans="1:10" ht="31.5" outlineLevel="4">
      <c r="A123" s="18" t="s">
        <v>11</v>
      </c>
      <c r="B123" s="19" t="s">
        <v>1</v>
      </c>
      <c r="C123" s="20" t="s">
        <v>106</v>
      </c>
      <c r="D123" s="20" t="s">
        <v>6</v>
      </c>
      <c r="E123" s="20" t="s">
        <v>33</v>
      </c>
      <c r="F123" s="20" t="s">
        <v>4</v>
      </c>
      <c r="G123" s="40">
        <f>G124</f>
        <v>5603.4660000000003</v>
      </c>
      <c r="H123" s="40">
        <f t="shared" si="51"/>
        <v>5793.5</v>
      </c>
      <c r="I123" s="40">
        <f t="shared" si="51"/>
        <v>5793.5</v>
      </c>
      <c r="J123" s="1"/>
    </row>
    <row r="124" spans="1:10" ht="47.25" outlineLevel="5">
      <c r="A124" s="18" t="s">
        <v>38</v>
      </c>
      <c r="B124" s="19" t="s">
        <v>1</v>
      </c>
      <c r="C124" s="20" t="s">
        <v>106</v>
      </c>
      <c r="D124" s="20" t="s">
        <v>6</v>
      </c>
      <c r="E124" s="20" t="s">
        <v>39</v>
      </c>
      <c r="F124" s="20" t="s">
        <v>4</v>
      </c>
      <c r="G124" s="40">
        <f>G125</f>
        <v>5603.4660000000003</v>
      </c>
      <c r="H124" s="40">
        <f t="shared" si="51"/>
        <v>5793.5</v>
      </c>
      <c r="I124" s="40">
        <f t="shared" si="51"/>
        <v>5793.5</v>
      </c>
      <c r="J124" s="1"/>
    </row>
    <row r="125" spans="1:10" ht="47.25" outlineLevel="6">
      <c r="A125" s="18" t="s">
        <v>108</v>
      </c>
      <c r="B125" s="19" t="s">
        <v>1</v>
      </c>
      <c r="C125" s="20" t="s">
        <v>106</v>
      </c>
      <c r="D125" s="20" t="s">
        <v>6</v>
      </c>
      <c r="E125" s="20" t="s">
        <v>109</v>
      </c>
      <c r="F125" s="20" t="s">
        <v>4</v>
      </c>
      <c r="G125" s="40">
        <f>G126</f>
        <v>5603.4660000000003</v>
      </c>
      <c r="H125" s="40">
        <f t="shared" si="51"/>
        <v>5793.5</v>
      </c>
      <c r="I125" s="40">
        <f t="shared" si="51"/>
        <v>5793.5</v>
      </c>
      <c r="J125" s="1"/>
    </row>
    <row r="126" spans="1:10" ht="31.5" outlineLevel="7">
      <c r="A126" s="18" t="s">
        <v>42</v>
      </c>
      <c r="B126" s="19" t="s">
        <v>1</v>
      </c>
      <c r="C126" s="20" t="s">
        <v>106</v>
      </c>
      <c r="D126" s="20" t="s">
        <v>6</v>
      </c>
      <c r="E126" s="20" t="s">
        <v>109</v>
      </c>
      <c r="F126" s="20" t="s">
        <v>43</v>
      </c>
      <c r="G126" s="40">
        <f>5793.5-190.034</f>
        <v>5603.4660000000003</v>
      </c>
      <c r="H126" s="40">
        <v>5793.5</v>
      </c>
      <c r="I126" s="40">
        <v>5793.5</v>
      </c>
      <c r="J126" s="1"/>
    </row>
    <row r="127" spans="1:10" ht="18" customHeight="1" outlineLevel="2">
      <c r="A127" s="15" t="s">
        <v>110</v>
      </c>
      <c r="B127" s="16" t="s">
        <v>1</v>
      </c>
      <c r="C127" s="17" t="s">
        <v>106</v>
      </c>
      <c r="D127" s="17" t="s">
        <v>81</v>
      </c>
      <c r="E127" s="17" t="s">
        <v>3</v>
      </c>
      <c r="F127" s="17" t="s">
        <v>4</v>
      </c>
      <c r="G127" s="39">
        <f>G128</f>
        <v>795.89299999999992</v>
      </c>
      <c r="H127" s="39">
        <f t="shared" ref="H127:I129" si="52">H128</f>
        <v>607</v>
      </c>
      <c r="I127" s="39">
        <f t="shared" si="52"/>
        <v>607</v>
      </c>
      <c r="J127" s="1"/>
    </row>
    <row r="128" spans="1:10" ht="94.5" outlineLevel="3">
      <c r="A128" s="18" t="s">
        <v>75</v>
      </c>
      <c r="B128" s="19" t="s">
        <v>1</v>
      </c>
      <c r="C128" s="20" t="s">
        <v>106</v>
      </c>
      <c r="D128" s="20" t="s">
        <v>81</v>
      </c>
      <c r="E128" s="20" t="s">
        <v>76</v>
      </c>
      <c r="F128" s="20" t="s">
        <v>4</v>
      </c>
      <c r="G128" s="40">
        <f>G129</f>
        <v>795.89299999999992</v>
      </c>
      <c r="H128" s="40">
        <f t="shared" si="52"/>
        <v>607</v>
      </c>
      <c r="I128" s="40">
        <f t="shared" si="52"/>
        <v>607</v>
      </c>
      <c r="J128" s="1"/>
    </row>
    <row r="129" spans="1:10" ht="31.5" outlineLevel="4">
      <c r="A129" s="18" t="s">
        <v>11</v>
      </c>
      <c r="B129" s="19" t="s">
        <v>1</v>
      </c>
      <c r="C129" s="20" t="s">
        <v>106</v>
      </c>
      <c r="D129" s="20" t="s">
        <v>81</v>
      </c>
      <c r="E129" s="20" t="s">
        <v>77</v>
      </c>
      <c r="F129" s="20" t="s">
        <v>4</v>
      </c>
      <c r="G129" s="40">
        <f>G130</f>
        <v>795.89299999999992</v>
      </c>
      <c r="H129" s="40">
        <f t="shared" si="52"/>
        <v>607</v>
      </c>
      <c r="I129" s="40">
        <f t="shared" si="52"/>
        <v>607</v>
      </c>
      <c r="J129" s="1"/>
    </row>
    <row r="130" spans="1:10" ht="78.75" outlineLevel="5">
      <c r="A130" s="18" t="s">
        <v>111</v>
      </c>
      <c r="B130" s="19" t="s">
        <v>1</v>
      </c>
      <c r="C130" s="20" t="s">
        <v>106</v>
      </c>
      <c r="D130" s="20" t="s">
        <v>81</v>
      </c>
      <c r="E130" s="20" t="s">
        <v>112</v>
      </c>
      <c r="F130" s="20" t="s">
        <v>4</v>
      </c>
      <c r="G130" s="40">
        <f>G131+G134+G137+G140+G142</f>
        <v>795.89299999999992</v>
      </c>
      <c r="H130" s="40">
        <f t="shared" ref="H130:I130" si="53">H131+H134+H137+H140+H142</f>
        <v>607</v>
      </c>
      <c r="I130" s="40">
        <f t="shared" si="53"/>
        <v>607</v>
      </c>
      <c r="J130" s="1"/>
    </row>
    <row r="131" spans="1:10" ht="47.25" outlineLevel="6">
      <c r="A131" s="18" t="s">
        <v>113</v>
      </c>
      <c r="B131" s="19" t="s">
        <v>1</v>
      </c>
      <c r="C131" s="20" t="s">
        <v>106</v>
      </c>
      <c r="D131" s="20" t="s">
        <v>81</v>
      </c>
      <c r="E131" s="20" t="s">
        <v>114</v>
      </c>
      <c r="F131" s="20" t="s">
        <v>4</v>
      </c>
      <c r="G131" s="40">
        <f>G132+G133</f>
        <v>487.59</v>
      </c>
      <c r="H131" s="40">
        <f t="shared" ref="H131:I131" si="54">H132+H133</f>
        <v>177.3</v>
      </c>
      <c r="I131" s="40">
        <f t="shared" si="54"/>
        <v>177.3</v>
      </c>
      <c r="J131" s="1"/>
    </row>
    <row r="132" spans="1:10" ht="63" outlineLevel="7">
      <c r="A132" s="18" t="s">
        <v>27</v>
      </c>
      <c r="B132" s="19" t="s">
        <v>1</v>
      </c>
      <c r="C132" s="20" t="s">
        <v>106</v>
      </c>
      <c r="D132" s="20" t="s">
        <v>81</v>
      </c>
      <c r="E132" s="20" t="s">
        <v>114</v>
      </c>
      <c r="F132" s="20" t="s">
        <v>28</v>
      </c>
      <c r="G132" s="40">
        <f>1.8+2.79</f>
        <v>4.59</v>
      </c>
      <c r="H132" s="40">
        <v>1.8</v>
      </c>
      <c r="I132" s="40">
        <v>1.8</v>
      </c>
      <c r="J132" s="1"/>
    </row>
    <row r="133" spans="1:10" ht="31.5" outlineLevel="7">
      <c r="A133" s="18" t="s">
        <v>42</v>
      </c>
      <c r="B133" s="19" t="s">
        <v>1</v>
      </c>
      <c r="C133" s="20" t="s">
        <v>106</v>
      </c>
      <c r="D133" s="20" t="s">
        <v>81</v>
      </c>
      <c r="E133" s="20" t="s">
        <v>114</v>
      </c>
      <c r="F133" s="20" t="s">
        <v>43</v>
      </c>
      <c r="G133" s="40">
        <f>175.5+100+170+70-32.5</f>
        <v>483</v>
      </c>
      <c r="H133" s="40">
        <v>175.5</v>
      </c>
      <c r="I133" s="40">
        <v>175.5</v>
      </c>
      <c r="J133" s="1"/>
    </row>
    <row r="134" spans="1:10" ht="31.5" outlineLevel="6">
      <c r="A134" s="18" t="s">
        <v>115</v>
      </c>
      <c r="B134" s="19" t="s">
        <v>1</v>
      </c>
      <c r="C134" s="20" t="s">
        <v>106</v>
      </c>
      <c r="D134" s="20" t="s">
        <v>81</v>
      </c>
      <c r="E134" s="20" t="s">
        <v>116</v>
      </c>
      <c r="F134" s="20" t="s">
        <v>4</v>
      </c>
      <c r="G134" s="40">
        <f>G135+G136</f>
        <v>19.658000000000001</v>
      </c>
      <c r="H134" s="40">
        <f t="shared" ref="H134:I134" si="55">H135+H136</f>
        <v>157.6</v>
      </c>
      <c r="I134" s="40">
        <f t="shared" si="55"/>
        <v>157.6</v>
      </c>
      <c r="J134" s="1"/>
    </row>
    <row r="135" spans="1:10" ht="63" outlineLevel="7">
      <c r="A135" s="18" t="s">
        <v>27</v>
      </c>
      <c r="B135" s="19" t="s">
        <v>1</v>
      </c>
      <c r="C135" s="20" t="s">
        <v>106</v>
      </c>
      <c r="D135" s="20" t="s">
        <v>81</v>
      </c>
      <c r="E135" s="20" t="s">
        <v>116</v>
      </c>
      <c r="F135" s="20" t="s">
        <v>28</v>
      </c>
      <c r="G135" s="40">
        <f>1.6-0.142</f>
        <v>1.4580000000000002</v>
      </c>
      <c r="H135" s="40">
        <v>1.6</v>
      </c>
      <c r="I135" s="40">
        <v>1.6</v>
      </c>
      <c r="J135" s="1"/>
    </row>
    <row r="136" spans="1:10" ht="31.5" outlineLevel="7">
      <c r="A136" s="18" t="s">
        <v>42</v>
      </c>
      <c r="B136" s="19" t="s">
        <v>1</v>
      </c>
      <c r="C136" s="20" t="s">
        <v>106</v>
      </c>
      <c r="D136" s="20" t="s">
        <v>81</v>
      </c>
      <c r="E136" s="20" t="s">
        <v>116</v>
      </c>
      <c r="F136" s="20" t="s">
        <v>43</v>
      </c>
      <c r="G136" s="40">
        <f>156-100-30-7.8</f>
        <v>18.2</v>
      </c>
      <c r="H136" s="40">
        <v>156</v>
      </c>
      <c r="I136" s="40">
        <v>156</v>
      </c>
      <c r="J136" s="1"/>
    </row>
    <row r="137" spans="1:10" ht="47.25" outlineLevel="6">
      <c r="A137" s="18" t="s">
        <v>117</v>
      </c>
      <c r="B137" s="19" t="s">
        <v>1</v>
      </c>
      <c r="C137" s="20" t="s">
        <v>106</v>
      </c>
      <c r="D137" s="20" t="s">
        <v>81</v>
      </c>
      <c r="E137" s="20" t="s">
        <v>118</v>
      </c>
      <c r="F137" s="20" t="s">
        <v>4</v>
      </c>
      <c r="G137" s="40">
        <f>G138+G139</f>
        <v>278.745</v>
      </c>
      <c r="H137" s="40">
        <f t="shared" ref="H137:I137" si="56">H138+H139</f>
        <v>212.1</v>
      </c>
      <c r="I137" s="40">
        <f t="shared" si="56"/>
        <v>212.1</v>
      </c>
      <c r="J137" s="1"/>
    </row>
    <row r="138" spans="1:10" ht="63" outlineLevel="7">
      <c r="A138" s="18" t="s">
        <v>27</v>
      </c>
      <c r="B138" s="19" t="s">
        <v>1</v>
      </c>
      <c r="C138" s="20" t="s">
        <v>106</v>
      </c>
      <c r="D138" s="20" t="s">
        <v>81</v>
      </c>
      <c r="E138" s="20" t="s">
        <v>118</v>
      </c>
      <c r="F138" s="20" t="s">
        <v>28</v>
      </c>
      <c r="G138" s="40">
        <f>2.1+0.6+0.045</f>
        <v>2.7450000000000001</v>
      </c>
      <c r="H138" s="40">
        <v>2.1</v>
      </c>
      <c r="I138" s="40">
        <v>2.1</v>
      </c>
      <c r="J138" s="1"/>
    </row>
    <row r="139" spans="1:10" ht="31.5" outlineLevel="7">
      <c r="A139" s="18" t="s">
        <v>42</v>
      </c>
      <c r="B139" s="19" t="s">
        <v>1</v>
      </c>
      <c r="C139" s="20" t="s">
        <v>106</v>
      </c>
      <c r="D139" s="20" t="s">
        <v>81</v>
      </c>
      <c r="E139" s="20" t="s">
        <v>118</v>
      </c>
      <c r="F139" s="20" t="s">
        <v>43</v>
      </c>
      <c r="G139" s="40">
        <f>210+64.5+1.5</f>
        <v>276</v>
      </c>
      <c r="H139" s="40">
        <v>210</v>
      </c>
      <c r="I139" s="40">
        <v>210</v>
      </c>
      <c r="J139" s="1"/>
    </row>
    <row r="140" spans="1:10" ht="47.25" outlineLevel="6">
      <c r="A140" s="18" t="s">
        <v>119</v>
      </c>
      <c r="B140" s="19" t="s">
        <v>1</v>
      </c>
      <c r="C140" s="20" t="s">
        <v>106</v>
      </c>
      <c r="D140" s="20" t="s">
        <v>81</v>
      </c>
      <c r="E140" s="20" t="s">
        <v>120</v>
      </c>
      <c r="F140" s="20" t="s">
        <v>4</v>
      </c>
      <c r="G140" s="40">
        <f>G141</f>
        <v>9.9</v>
      </c>
      <c r="H140" s="40">
        <f t="shared" ref="H140:I140" si="57">H141</f>
        <v>56</v>
      </c>
      <c r="I140" s="40">
        <f t="shared" si="57"/>
        <v>56</v>
      </c>
      <c r="J140" s="1"/>
    </row>
    <row r="141" spans="1:10" ht="31.5" outlineLevel="7">
      <c r="A141" s="18" t="s">
        <v>42</v>
      </c>
      <c r="B141" s="19" t="s">
        <v>1</v>
      </c>
      <c r="C141" s="20" t="s">
        <v>106</v>
      </c>
      <c r="D141" s="20" t="s">
        <v>81</v>
      </c>
      <c r="E141" s="20" t="s">
        <v>120</v>
      </c>
      <c r="F141" s="20" t="s">
        <v>43</v>
      </c>
      <c r="G141" s="40">
        <f>56-40-6.1</f>
        <v>9.9</v>
      </c>
      <c r="H141" s="40">
        <v>56</v>
      </c>
      <c r="I141" s="40">
        <v>56</v>
      </c>
      <c r="J141" s="1"/>
    </row>
    <row r="142" spans="1:10" ht="31.5" outlineLevel="6">
      <c r="A142" s="18" t="s">
        <v>121</v>
      </c>
      <c r="B142" s="19" t="s">
        <v>1</v>
      </c>
      <c r="C142" s="20" t="s">
        <v>106</v>
      </c>
      <c r="D142" s="20" t="s">
        <v>81</v>
      </c>
      <c r="E142" s="20" t="s">
        <v>122</v>
      </c>
      <c r="F142" s="20" t="s">
        <v>4</v>
      </c>
      <c r="G142" s="40">
        <f>G143</f>
        <v>0</v>
      </c>
      <c r="H142" s="40">
        <f t="shared" ref="H142:I142" si="58">H143</f>
        <v>4</v>
      </c>
      <c r="I142" s="40">
        <f t="shared" si="58"/>
        <v>4</v>
      </c>
      <c r="J142" s="1"/>
    </row>
    <row r="143" spans="1:10" ht="31.5" outlineLevel="7">
      <c r="A143" s="18" t="s">
        <v>42</v>
      </c>
      <c r="B143" s="19" t="s">
        <v>1</v>
      </c>
      <c r="C143" s="20" t="s">
        <v>106</v>
      </c>
      <c r="D143" s="20" t="s">
        <v>81</v>
      </c>
      <c r="E143" s="20" t="s">
        <v>122</v>
      </c>
      <c r="F143" s="20" t="s">
        <v>43</v>
      </c>
      <c r="G143" s="40">
        <f>4-4</f>
        <v>0</v>
      </c>
      <c r="H143" s="40">
        <v>4</v>
      </c>
      <c r="I143" s="40">
        <v>4</v>
      </c>
      <c r="J143" s="1"/>
    </row>
    <row r="144" spans="1:10" ht="31.5" outlineLevel="1">
      <c r="A144" s="12" t="s">
        <v>123</v>
      </c>
      <c r="B144" s="13" t="s">
        <v>1</v>
      </c>
      <c r="C144" s="14" t="s">
        <v>93</v>
      </c>
      <c r="D144" s="14" t="s">
        <v>2</v>
      </c>
      <c r="E144" s="14" t="s">
        <v>3</v>
      </c>
      <c r="F144" s="14" t="s">
        <v>4</v>
      </c>
      <c r="G144" s="38">
        <f>G145+G151</f>
        <v>9333.36</v>
      </c>
      <c r="H144" s="38">
        <f t="shared" ref="H144:I144" si="59">H145+H151</f>
        <v>7903.56</v>
      </c>
      <c r="I144" s="38">
        <f t="shared" si="59"/>
        <v>7903.56</v>
      </c>
      <c r="J144" s="1"/>
    </row>
    <row r="145" spans="1:10" ht="15.75" outlineLevel="2">
      <c r="A145" s="15" t="s">
        <v>124</v>
      </c>
      <c r="B145" s="16" t="s">
        <v>1</v>
      </c>
      <c r="C145" s="17" t="s">
        <v>93</v>
      </c>
      <c r="D145" s="17" t="s">
        <v>6</v>
      </c>
      <c r="E145" s="17" t="s">
        <v>3</v>
      </c>
      <c r="F145" s="17" t="s">
        <v>4</v>
      </c>
      <c r="G145" s="39">
        <f>G146</f>
        <v>4556.96</v>
      </c>
      <c r="H145" s="39">
        <f t="shared" ref="H145:I146" si="60">H146</f>
        <v>4354.5600000000004</v>
      </c>
      <c r="I145" s="39">
        <f t="shared" si="60"/>
        <v>4354.5600000000004</v>
      </c>
      <c r="J145" s="1"/>
    </row>
    <row r="146" spans="1:10" ht="47.25" outlineLevel="3">
      <c r="A146" s="18" t="s">
        <v>9</v>
      </c>
      <c r="B146" s="19" t="s">
        <v>1</v>
      </c>
      <c r="C146" s="20" t="s">
        <v>93</v>
      </c>
      <c r="D146" s="20" t="s">
        <v>6</v>
      </c>
      <c r="E146" s="20" t="s">
        <v>10</v>
      </c>
      <c r="F146" s="20" t="s">
        <v>4</v>
      </c>
      <c r="G146" s="40">
        <f>G147</f>
        <v>4556.96</v>
      </c>
      <c r="H146" s="40">
        <f t="shared" si="60"/>
        <v>4354.5600000000004</v>
      </c>
      <c r="I146" s="40">
        <f t="shared" si="60"/>
        <v>4354.5600000000004</v>
      </c>
      <c r="J146" s="1"/>
    </row>
    <row r="147" spans="1:10" ht="31.5" outlineLevel="4">
      <c r="A147" s="18" t="s">
        <v>11</v>
      </c>
      <c r="B147" s="19" t="s">
        <v>1</v>
      </c>
      <c r="C147" s="20" t="s">
        <v>93</v>
      </c>
      <c r="D147" s="20" t="s">
        <v>6</v>
      </c>
      <c r="E147" s="20" t="s">
        <v>12</v>
      </c>
      <c r="F147" s="20" t="s">
        <v>4</v>
      </c>
      <c r="G147" s="40">
        <f>G148</f>
        <v>4556.96</v>
      </c>
      <c r="H147" s="40">
        <f t="shared" ref="H147:I149" si="61">H148</f>
        <v>4354.5600000000004</v>
      </c>
      <c r="I147" s="40">
        <f t="shared" si="61"/>
        <v>4354.5600000000004</v>
      </c>
      <c r="J147" s="1"/>
    </row>
    <row r="148" spans="1:10" ht="78.75" outlineLevel="5">
      <c r="A148" s="18" t="s">
        <v>125</v>
      </c>
      <c r="B148" s="19" t="s">
        <v>1</v>
      </c>
      <c r="C148" s="20" t="s">
        <v>93</v>
      </c>
      <c r="D148" s="20" t="s">
        <v>6</v>
      </c>
      <c r="E148" s="20" t="s">
        <v>126</v>
      </c>
      <c r="F148" s="20" t="s">
        <v>4</v>
      </c>
      <c r="G148" s="40">
        <f>G149</f>
        <v>4556.96</v>
      </c>
      <c r="H148" s="40">
        <f t="shared" si="61"/>
        <v>4354.5600000000004</v>
      </c>
      <c r="I148" s="40">
        <f t="shared" si="61"/>
        <v>4354.5600000000004</v>
      </c>
      <c r="J148" s="1"/>
    </row>
    <row r="149" spans="1:10" ht="63" outlineLevel="6">
      <c r="A149" s="18" t="s">
        <v>127</v>
      </c>
      <c r="B149" s="19" t="s">
        <v>1</v>
      </c>
      <c r="C149" s="20" t="s">
        <v>93</v>
      </c>
      <c r="D149" s="20" t="s">
        <v>6</v>
      </c>
      <c r="E149" s="20" t="s">
        <v>128</v>
      </c>
      <c r="F149" s="20" t="s">
        <v>4</v>
      </c>
      <c r="G149" s="40">
        <f>G150</f>
        <v>4556.96</v>
      </c>
      <c r="H149" s="40">
        <f t="shared" si="61"/>
        <v>4354.5600000000004</v>
      </c>
      <c r="I149" s="40">
        <f t="shared" si="61"/>
        <v>4354.5600000000004</v>
      </c>
      <c r="J149" s="1"/>
    </row>
    <row r="150" spans="1:10" ht="66.75" customHeight="1" outlineLevel="7">
      <c r="A150" s="18" t="s">
        <v>103</v>
      </c>
      <c r="B150" s="19" t="s">
        <v>1</v>
      </c>
      <c r="C150" s="20" t="s">
        <v>93</v>
      </c>
      <c r="D150" s="20" t="s">
        <v>6</v>
      </c>
      <c r="E150" s="20" t="s">
        <v>128</v>
      </c>
      <c r="F150" s="20" t="s">
        <v>104</v>
      </c>
      <c r="G150" s="40">
        <f>4354.56+148.9+53.5</f>
        <v>4556.96</v>
      </c>
      <c r="H150" s="40">
        <v>4354.5600000000004</v>
      </c>
      <c r="I150" s="40">
        <v>4354.5600000000004</v>
      </c>
      <c r="J150" s="1"/>
    </row>
    <row r="151" spans="1:10" ht="31.5" outlineLevel="2">
      <c r="A151" s="15" t="s">
        <v>129</v>
      </c>
      <c r="B151" s="16" t="s">
        <v>1</v>
      </c>
      <c r="C151" s="17" t="s">
        <v>93</v>
      </c>
      <c r="D151" s="17" t="s">
        <v>8</v>
      </c>
      <c r="E151" s="17" t="s">
        <v>3</v>
      </c>
      <c r="F151" s="17" t="s">
        <v>4</v>
      </c>
      <c r="G151" s="39">
        <f>G152</f>
        <v>4776.3999999999996</v>
      </c>
      <c r="H151" s="39">
        <f t="shared" ref="H151:I154" si="62">H152</f>
        <v>3549</v>
      </c>
      <c r="I151" s="39">
        <f t="shared" si="62"/>
        <v>3549</v>
      </c>
      <c r="J151" s="1"/>
    </row>
    <row r="152" spans="1:10" ht="47.25" outlineLevel="3">
      <c r="A152" s="18" t="s">
        <v>9</v>
      </c>
      <c r="B152" s="19" t="s">
        <v>1</v>
      </c>
      <c r="C152" s="20" t="s">
        <v>93</v>
      </c>
      <c r="D152" s="20" t="s">
        <v>8</v>
      </c>
      <c r="E152" s="20" t="s">
        <v>10</v>
      </c>
      <c r="F152" s="20" t="s">
        <v>4</v>
      </c>
      <c r="G152" s="40">
        <f>G153</f>
        <v>4776.3999999999996</v>
      </c>
      <c r="H152" s="40">
        <f t="shared" si="62"/>
        <v>3549</v>
      </c>
      <c r="I152" s="40">
        <f t="shared" si="62"/>
        <v>3549</v>
      </c>
      <c r="J152" s="1"/>
    </row>
    <row r="153" spans="1:10" ht="31.5" outlineLevel="4">
      <c r="A153" s="18" t="s">
        <v>11</v>
      </c>
      <c r="B153" s="19" t="s">
        <v>1</v>
      </c>
      <c r="C153" s="20" t="s">
        <v>93</v>
      </c>
      <c r="D153" s="20" t="s">
        <v>8</v>
      </c>
      <c r="E153" s="20" t="s">
        <v>12</v>
      </c>
      <c r="F153" s="20" t="s">
        <v>4</v>
      </c>
      <c r="G153" s="40">
        <f>G154</f>
        <v>4776.3999999999996</v>
      </c>
      <c r="H153" s="40">
        <f t="shared" si="62"/>
        <v>3549</v>
      </c>
      <c r="I153" s="40">
        <f t="shared" si="62"/>
        <v>3549</v>
      </c>
      <c r="J153" s="1"/>
    </row>
    <row r="154" spans="1:10" ht="78.75" outlineLevel="5">
      <c r="A154" s="18" t="s">
        <v>125</v>
      </c>
      <c r="B154" s="19" t="s">
        <v>1</v>
      </c>
      <c r="C154" s="20" t="s">
        <v>93</v>
      </c>
      <c r="D154" s="20" t="s">
        <v>8</v>
      </c>
      <c r="E154" s="20" t="s">
        <v>126</v>
      </c>
      <c r="F154" s="20" t="s">
        <v>4</v>
      </c>
      <c r="G154" s="40">
        <f>G155</f>
        <v>4776.3999999999996</v>
      </c>
      <c r="H154" s="40">
        <f t="shared" si="62"/>
        <v>3549</v>
      </c>
      <c r="I154" s="40">
        <f t="shared" si="62"/>
        <v>3549</v>
      </c>
      <c r="J154" s="1"/>
    </row>
    <row r="155" spans="1:10" ht="63" outlineLevel="6">
      <c r="A155" s="18" t="s">
        <v>127</v>
      </c>
      <c r="B155" s="19" t="s">
        <v>1</v>
      </c>
      <c r="C155" s="20" t="s">
        <v>93</v>
      </c>
      <c r="D155" s="20" t="s">
        <v>8</v>
      </c>
      <c r="E155" s="20" t="s">
        <v>128</v>
      </c>
      <c r="F155" s="20" t="s">
        <v>4</v>
      </c>
      <c r="G155" s="40">
        <f>G156</f>
        <v>4776.3999999999996</v>
      </c>
      <c r="H155" s="40">
        <f t="shared" ref="H155:I155" si="63">H156</f>
        <v>3549</v>
      </c>
      <c r="I155" s="40">
        <f t="shared" si="63"/>
        <v>3549</v>
      </c>
      <c r="J155" s="1"/>
    </row>
    <row r="156" spans="1:10" ht="66" customHeight="1" outlineLevel="7">
      <c r="A156" s="18" t="s">
        <v>103</v>
      </c>
      <c r="B156" s="19" t="s">
        <v>1</v>
      </c>
      <c r="C156" s="20" t="s">
        <v>93</v>
      </c>
      <c r="D156" s="20" t="s">
        <v>8</v>
      </c>
      <c r="E156" s="20" t="s">
        <v>128</v>
      </c>
      <c r="F156" s="20" t="s">
        <v>104</v>
      </c>
      <c r="G156" s="40">
        <f>3549+84.1+43.3+1100</f>
        <v>4776.3999999999996</v>
      </c>
      <c r="H156" s="40">
        <v>3549</v>
      </c>
      <c r="I156" s="40">
        <v>3549</v>
      </c>
      <c r="J156" s="1"/>
    </row>
    <row r="157" spans="1:10" ht="47.25">
      <c r="A157" s="12" t="s">
        <v>130</v>
      </c>
      <c r="B157" s="13" t="s">
        <v>131</v>
      </c>
      <c r="C157" s="14" t="s">
        <v>2</v>
      </c>
      <c r="D157" s="14" t="s">
        <v>2</v>
      </c>
      <c r="E157" s="14" t="s">
        <v>3</v>
      </c>
      <c r="F157" s="14" t="s">
        <v>4</v>
      </c>
      <c r="G157" s="38">
        <f t="shared" ref="G157:G162" si="64">G158</f>
        <v>2911.8</v>
      </c>
      <c r="H157" s="38">
        <f t="shared" ref="H157:I162" si="65">H158</f>
        <v>3832.2</v>
      </c>
      <c r="I157" s="38">
        <f t="shared" si="65"/>
        <v>3832.2</v>
      </c>
      <c r="J157" s="1"/>
    </row>
    <row r="158" spans="1:10" ht="31.5" outlineLevel="1">
      <c r="A158" s="12" t="s">
        <v>5</v>
      </c>
      <c r="B158" s="13" t="s">
        <v>131</v>
      </c>
      <c r="C158" s="14" t="s">
        <v>6</v>
      </c>
      <c r="D158" s="14" t="s">
        <v>2</v>
      </c>
      <c r="E158" s="14" t="s">
        <v>3</v>
      </c>
      <c r="F158" s="14" t="s">
        <v>4</v>
      </c>
      <c r="G158" s="38">
        <f t="shared" si="64"/>
        <v>2911.8</v>
      </c>
      <c r="H158" s="38">
        <f t="shared" si="65"/>
        <v>3832.2</v>
      </c>
      <c r="I158" s="38">
        <f t="shared" si="65"/>
        <v>3832.2</v>
      </c>
      <c r="J158" s="1"/>
    </row>
    <row r="159" spans="1:10" ht="31.5" outlineLevel="2">
      <c r="A159" s="15" t="s">
        <v>48</v>
      </c>
      <c r="B159" s="16" t="s">
        <v>131</v>
      </c>
      <c r="C159" s="17" t="s">
        <v>6</v>
      </c>
      <c r="D159" s="17" t="s">
        <v>49</v>
      </c>
      <c r="E159" s="17" t="s">
        <v>3</v>
      </c>
      <c r="F159" s="17" t="s">
        <v>4</v>
      </c>
      <c r="G159" s="39">
        <f>G160+G166</f>
        <v>2911.8</v>
      </c>
      <c r="H159" s="39">
        <f t="shared" si="65"/>
        <v>3832.2</v>
      </c>
      <c r="I159" s="39">
        <f t="shared" si="65"/>
        <v>3832.2</v>
      </c>
      <c r="J159" s="1"/>
    </row>
    <row r="160" spans="1:10" ht="63" outlineLevel="3">
      <c r="A160" s="18" t="s">
        <v>132</v>
      </c>
      <c r="B160" s="19" t="s">
        <v>131</v>
      </c>
      <c r="C160" s="20" t="s">
        <v>6</v>
      </c>
      <c r="D160" s="20" t="s">
        <v>49</v>
      </c>
      <c r="E160" s="20" t="s">
        <v>133</v>
      </c>
      <c r="F160" s="20" t="s">
        <v>4</v>
      </c>
      <c r="G160" s="40">
        <f t="shared" si="64"/>
        <v>2825.5</v>
      </c>
      <c r="H160" s="40">
        <f t="shared" si="65"/>
        <v>3832.2</v>
      </c>
      <c r="I160" s="40">
        <f t="shared" si="65"/>
        <v>3832.2</v>
      </c>
      <c r="J160" s="1"/>
    </row>
    <row r="161" spans="1:10" ht="31.5" outlineLevel="4">
      <c r="A161" s="18" t="s">
        <v>11</v>
      </c>
      <c r="B161" s="19" t="s">
        <v>131</v>
      </c>
      <c r="C161" s="20" t="s">
        <v>6</v>
      </c>
      <c r="D161" s="20" t="s">
        <v>49</v>
      </c>
      <c r="E161" s="20" t="s">
        <v>134</v>
      </c>
      <c r="F161" s="20" t="s">
        <v>4</v>
      </c>
      <c r="G161" s="40">
        <f t="shared" si="64"/>
        <v>2825.5</v>
      </c>
      <c r="H161" s="40">
        <f t="shared" si="65"/>
        <v>3832.2</v>
      </c>
      <c r="I161" s="40">
        <f t="shared" si="65"/>
        <v>3832.2</v>
      </c>
      <c r="J161" s="1"/>
    </row>
    <row r="162" spans="1:10" ht="63" outlineLevel="5">
      <c r="A162" s="18" t="s">
        <v>69</v>
      </c>
      <c r="B162" s="19" t="s">
        <v>131</v>
      </c>
      <c r="C162" s="20" t="s">
        <v>6</v>
      </c>
      <c r="D162" s="20" t="s">
        <v>49</v>
      </c>
      <c r="E162" s="20" t="s">
        <v>135</v>
      </c>
      <c r="F162" s="20" t="s">
        <v>4</v>
      </c>
      <c r="G162" s="40">
        <f t="shared" si="64"/>
        <v>2825.5</v>
      </c>
      <c r="H162" s="40">
        <f t="shared" si="65"/>
        <v>3832.2</v>
      </c>
      <c r="I162" s="40">
        <f t="shared" si="65"/>
        <v>3832.2</v>
      </c>
      <c r="J162" s="1"/>
    </row>
    <row r="163" spans="1:10" ht="47.25" outlineLevel="6">
      <c r="A163" s="18" t="s">
        <v>21</v>
      </c>
      <c r="B163" s="19" t="s">
        <v>131</v>
      </c>
      <c r="C163" s="20" t="s">
        <v>6</v>
      </c>
      <c r="D163" s="20" t="s">
        <v>49</v>
      </c>
      <c r="E163" s="20" t="s">
        <v>136</v>
      </c>
      <c r="F163" s="20" t="s">
        <v>4</v>
      </c>
      <c r="G163" s="40">
        <f>G164+G165</f>
        <v>2825.5</v>
      </c>
      <c r="H163" s="40">
        <f t="shared" ref="H163:I163" si="66">H164+H165</f>
        <v>3832.2</v>
      </c>
      <c r="I163" s="40">
        <f t="shared" si="66"/>
        <v>3832.2</v>
      </c>
      <c r="J163" s="1"/>
    </row>
    <row r="164" spans="1:10" ht="126" customHeight="1" outlineLevel="7">
      <c r="A164" s="18" t="s">
        <v>17</v>
      </c>
      <c r="B164" s="19" t="s">
        <v>131</v>
      </c>
      <c r="C164" s="20" t="s">
        <v>6</v>
      </c>
      <c r="D164" s="20" t="s">
        <v>49</v>
      </c>
      <c r="E164" s="20" t="s">
        <v>136</v>
      </c>
      <c r="F164" s="20" t="s">
        <v>18</v>
      </c>
      <c r="G164" s="40">
        <f>3750+135.1+601.9-1743.7</f>
        <v>2743.3</v>
      </c>
      <c r="H164" s="40">
        <v>3750</v>
      </c>
      <c r="I164" s="40">
        <v>3750</v>
      </c>
      <c r="J164" s="1"/>
    </row>
    <row r="165" spans="1:10" ht="63" outlineLevel="7">
      <c r="A165" s="18" t="s">
        <v>27</v>
      </c>
      <c r="B165" s="19" t="s">
        <v>131</v>
      </c>
      <c r="C165" s="20" t="s">
        <v>6</v>
      </c>
      <c r="D165" s="20" t="s">
        <v>49</v>
      </c>
      <c r="E165" s="20" t="s">
        <v>136</v>
      </c>
      <c r="F165" s="20" t="s">
        <v>28</v>
      </c>
      <c r="G165" s="40">
        <v>82.2</v>
      </c>
      <c r="H165" s="40">
        <v>82.2</v>
      </c>
      <c r="I165" s="40">
        <v>82.2</v>
      </c>
      <c r="J165" s="1"/>
    </row>
    <row r="166" spans="1:10" ht="31.5" outlineLevel="7">
      <c r="A166" s="18" t="s">
        <v>140</v>
      </c>
      <c r="B166" s="19" t="s">
        <v>131</v>
      </c>
      <c r="C166" s="20" t="s">
        <v>6</v>
      </c>
      <c r="D166" s="20" t="s">
        <v>49</v>
      </c>
      <c r="E166" s="20" t="s">
        <v>141</v>
      </c>
      <c r="F166" s="20" t="s">
        <v>4</v>
      </c>
      <c r="G166" s="40">
        <f>G167</f>
        <v>86.3</v>
      </c>
      <c r="H166" s="40">
        <f t="shared" ref="H166:I168" si="67">H167</f>
        <v>0</v>
      </c>
      <c r="I166" s="40">
        <f t="shared" si="67"/>
        <v>0</v>
      </c>
      <c r="J166" s="1"/>
    </row>
    <row r="167" spans="1:10" ht="15.75" outlineLevel="7">
      <c r="A167" s="18" t="s">
        <v>142</v>
      </c>
      <c r="B167" s="19" t="s">
        <v>131</v>
      </c>
      <c r="C167" s="20" t="s">
        <v>6</v>
      </c>
      <c r="D167" s="20" t="s">
        <v>49</v>
      </c>
      <c r="E167" s="20" t="s">
        <v>143</v>
      </c>
      <c r="F167" s="20" t="s">
        <v>4</v>
      </c>
      <c r="G167" s="40">
        <f>G168</f>
        <v>86.3</v>
      </c>
      <c r="H167" s="40">
        <f t="shared" si="67"/>
        <v>0</v>
      </c>
      <c r="I167" s="40">
        <f t="shared" si="67"/>
        <v>0</v>
      </c>
      <c r="J167" s="1"/>
    </row>
    <row r="168" spans="1:10" ht="94.5" outlineLevel="7">
      <c r="A168" s="21" t="s">
        <v>769</v>
      </c>
      <c r="B168" s="19" t="s">
        <v>131</v>
      </c>
      <c r="C168" s="20" t="s">
        <v>6</v>
      </c>
      <c r="D168" s="20" t="s">
        <v>49</v>
      </c>
      <c r="E168" s="23">
        <v>9990055491</v>
      </c>
      <c r="F168" s="19" t="s">
        <v>4</v>
      </c>
      <c r="G168" s="40">
        <f>G169</f>
        <v>86.3</v>
      </c>
      <c r="H168" s="40">
        <f t="shared" si="67"/>
        <v>0</v>
      </c>
      <c r="I168" s="40">
        <f t="shared" si="67"/>
        <v>0</v>
      </c>
      <c r="J168" s="1"/>
    </row>
    <row r="169" spans="1:10" ht="129.75" customHeight="1" outlineLevel="7">
      <c r="A169" s="18" t="s">
        <v>17</v>
      </c>
      <c r="B169" s="19" t="s">
        <v>131</v>
      </c>
      <c r="C169" s="20" t="s">
        <v>6</v>
      </c>
      <c r="D169" s="20" t="s">
        <v>49</v>
      </c>
      <c r="E169" s="23">
        <v>9990055491</v>
      </c>
      <c r="F169" s="19" t="s">
        <v>18</v>
      </c>
      <c r="G169" s="40">
        <v>86.3</v>
      </c>
      <c r="H169" s="40">
        <v>0</v>
      </c>
      <c r="I169" s="40">
        <v>0</v>
      </c>
      <c r="J169" s="1"/>
    </row>
    <row r="170" spans="1:10" ht="31.5" outlineLevel="7">
      <c r="A170" s="12" t="s">
        <v>719</v>
      </c>
      <c r="B170" s="19" t="s">
        <v>721</v>
      </c>
      <c r="C170" s="14" t="s">
        <v>2</v>
      </c>
      <c r="D170" s="14" t="s">
        <v>2</v>
      </c>
      <c r="E170" s="14" t="s">
        <v>3</v>
      </c>
      <c r="F170" s="14" t="s">
        <v>4</v>
      </c>
      <c r="G170" s="38">
        <f t="shared" ref="G170:G175" si="68">G171</f>
        <v>633.5</v>
      </c>
      <c r="H170" s="38">
        <f t="shared" ref="H170:I175" si="69">H171</f>
        <v>0</v>
      </c>
      <c r="I170" s="38">
        <f t="shared" si="69"/>
        <v>0</v>
      </c>
      <c r="J170" s="1"/>
    </row>
    <row r="171" spans="1:10" ht="31.5" outlineLevel="7">
      <c r="A171" s="12" t="s">
        <v>5</v>
      </c>
      <c r="B171" s="19" t="s">
        <v>721</v>
      </c>
      <c r="C171" s="14" t="s">
        <v>6</v>
      </c>
      <c r="D171" s="14" t="s">
        <v>2</v>
      </c>
      <c r="E171" s="14" t="s">
        <v>3</v>
      </c>
      <c r="F171" s="14" t="s">
        <v>4</v>
      </c>
      <c r="G171" s="38">
        <f t="shared" si="68"/>
        <v>633.5</v>
      </c>
      <c r="H171" s="38">
        <f t="shared" si="69"/>
        <v>0</v>
      </c>
      <c r="I171" s="38">
        <f t="shared" si="69"/>
        <v>0</v>
      </c>
      <c r="J171" s="1"/>
    </row>
    <row r="172" spans="1:10" ht="31.5" outlineLevel="7">
      <c r="A172" s="15" t="s">
        <v>720</v>
      </c>
      <c r="B172" s="19">
        <v>708</v>
      </c>
      <c r="C172" s="17" t="s">
        <v>6</v>
      </c>
      <c r="D172" s="17" t="s">
        <v>337</v>
      </c>
      <c r="E172" s="17" t="s">
        <v>3</v>
      </c>
      <c r="F172" s="17" t="s">
        <v>4</v>
      </c>
      <c r="G172" s="39">
        <f t="shared" si="68"/>
        <v>633.5</v>
      </c>
      <c r="H172" s="39">
        <f t="shared" si="69"/>
        <v>0</v>
      </c>
      <c r="I172" s="39">
        <f t="shared" si="69"/>
        <v>0</v>
      </c>
      <c r="J172" s="1"/>
    </row>
    <row r="173" spans="1:10" ht="31.5" outlineLevel="7">
      <c r="A173" s="18" t="s">
        <v>140</v>
      </c>
      <c r="B173" s="19" t="s">
        <v>721</v>
      </c>
      <c r="C173" s="20" t="s">
        <v>6</v>
      </c>
      <c r="D173" s="20" t="s">
        <v>337</v>
      </c>
      <c r="E173" s="20" t="s">
        <v>141</v>
      </c>
      <c r="F173" s="20" t="s">
        <v>4</v>
      </c>
      <c r="G173" s="40">
        <f t="shared" si="68"/>
        <v>633.5</v>
      </c>
      <c r="H173" s="40">
        <f t="shared" si="69"/>
        <v>0</v>
      </c>
      <c r="I173" s="40">
        <f t="shared" si="69"/>
        <v>0</v>
      </c>
      <c r="J173" s="1"/>
    </row>
    <row r="174" spans="1:10" ht="15.75" outlineLevel="7">
      <c r="A174" s="18" t="s">
        <v>142</v>
      </c>
      <c r="B174" s="19" t="s">
        <v>721</v>
      </c>
      <c r="C174" s="20" t="s">
        <v>6</v>
      </c>
      <c r="D174" s="20" t="s">
        <v>337</v>
      </c>
      <c r="E174" s="20" t="s">
        <v>143</v>
      </c>
      <c r="F174" s="20" t="s">
        <v>4</v>
      </c>
      <c r="G174" s="40">
        <f t="shared" si="68"/>
        <v>633.5</v>
      </c>
      <c r="H174" s="40">
        <f t="shared" si="69"/>
        <v>0</v>
      </c>
      <c r="I174" s="40">
        <f t="shared" si="69"/>
        <v>0</v>
      </c>
      <c r="J174" s="1"/>
    </row>
    <row r="175" spans="1:10" ht="15.75" outlineLevel="7">
      <c r="A175" s="18" t="s">
        <v>722</v>
      </c>
      <c r="B175" s="19" t="s">
        <v>721</v>
      </c>
      <c r="C175" s="20" t="s">
        <v>6</v>
      </c>
      <c r="D175" s="20" t="s">
        <v>337</v>
      </c>
      <c r="E175" s="20" t="s">
        <v>723</v>
      </c>
      <c r="F175" s="20" t="s">
        <v>4</v>
      </c>
      <c r="G175" s="40">
        <f t="shared" si="68"/>
        <v>633.5</v>
      </c>
      <c r="H175" s="40">
        <f t="shared" si="69"/>
        <v>0</v>
      </c>
      <c r="I175" s="40">
        <f t="shared" si="69"/>
        <v>0</v>
      </c>
      <c r="J175" s="1"/>
    </row>
    <row r="176" spans="1:10" ht="15.75" outlineLevel="7">
      <c r="A176" s="18" t="s">
        <v>724</v>
      </c>
      <c r="B176" s="19" t="s">
        <v>721</v>
      </c>
      <c r="C176" s="20" t="s">
        <v>6</v>
      </c>
      <c r="D176" s="20" t="s">
        <v>337</v>
      </c>
      <c r="E176" s="20" t="s">
        <v>723</v>
      </c>
      <c r="F176" s="20" t="s">
        <v>64</v>
      </c>
      <c r="G176" s="40">
        <v>633.5</v>
      </c>
      <c r="H176" s="40">
        <v>0</v>
      </c>
      <c r="I176" s="40">
        <v>0</v>
      </c>
      <c r="J176" s="1"/>
    </row>
    <row r="177" spans="1:10" ht="31.5">
      <c r="A177" s="12" t="s">
        <v>137</v>
      </c>
      <c r="B177" s="13" t="s">
        <v>138</v>
      </c>
      <c r="C177" s="14" t="s">
        <v>2</v>
      </c>
      <c r="D177" s="14" t="s">
        <v>2</v>
      </c>
      <c r="E177" s="14" t="s">
        <v>3</v>
      </c>
      <c r="F177" s="14" t="s">
        <v>4</v>
      </c>
      <c r="G177" s="38">
        <f>G178</f>
        <v>8086.2000000000007</v>
      </c>
      <c r="H177" s="38">
        <f t="shared" ref="H177:I180" si="70">H178</f>
        <v>7806.2999999999993</v>
      </c>
      <c r="I177" s="38">
        <f t="shared" si="70"/>
        <v>7806.2999999999993</v>
      </c>
      <c r="J177" s="1"/>
    </row>
    <row r="178" spans="1:10" ht="31.5" outlineLevel="1">
      <c r="A178" s="12" t="s">
        <v>5</v>
      </c>
      <c r="B178" s="13" t="s">
        <v>138</v>
      </c>
      <c r="C178" s="14" t="s">
        <v>6</v>
      </c>
      <c r="D178" s="14" t="s">
        <v>2</v>
      </c>
      <c r="E178" s="14" t="s">
        <v>3</v>
      </c>
      <c r="F178" s="14" t="s">
        <v>4</v>
      </c>
      <c r="G178" s="38">
        <f>G179</f>
        <v>8086.2000000000007</v>
      </c>
      <c r="H178" s="38">
        <f t="shared" si="70"/>
        <v>7806.2999999999993</v>
      </c>
      <c r="I178" s="38">
        <f t="shared" si="70"/>
        <v>7806.2999999999993</v>
      </c>
      <c r="J178" s="1"/>
    </row>
    <row r="179" spans="1:10" ht="94.5" outlineLevel="2">
      <c r="A179" s="15" t="s">
        <v>139</v>
      </c>
      <c r="B179" s="16" t="s">
        <v>138</v>
      </c>
      <c r="C179" s="17" t="s">
        <v>6</v>
      </c>
      <c r="D179" s="17" t="s">
        <v>81</v>
      </c>
      <c r="E179" s="17" t="s">
        <v>3</v>
      </c>
      <c r="F179" s="17" t="s">
        <v>4</v>
      </c>
      <c r="G179" s="39">
        <f>G180</f>
        <v>8086.2000000000007</v>
      </c>
      <c r="H179" s="39">
        <f t="shared" si="70"/>
        <v>7806.2999999999993</v>
      </c>
      <c r="I179" s="39">
        <f t="shared" si="70"/>
        <v>7806.2999999999993</v>
      </c>
      <c r="J179" s="1"/>
    </row>
    <row r="180" spans="1:10" ht="31.5" outlineLevel="3">
      <c r="A180" s="18" t="s">
        <v>140</v>
      </c>
      <c r="B180" s="19" t="s">
        <v>138</v>
      </c>
      <c r="C180" s="20" t="s">
        <v>6</v>
      </c>
      <c r="D180" s="20" t="s">
        <v>81</v>
      </c>
      <c r="E180" s="20" t="s">
        <v>141</v>
      </c>
      <c r="F180" s="20" t="s">
        <v>4</v>
      </c>
      <c r="G180" s="40">
        <f>G181</f>
        <v>8086.2000000000007</v>
      </c>
      <c r="H180" s="40">
        <f t="shared" si="70"/>
        <v>7806.2999999999993</v>
      </c>
      <c r="I180" s="40">
        <f t="shared" si="70"/>
        <v>7806.2999999999993</v>
      </c>
      <c r="J180" s="1"/>
    </row>
    <row r="181" spans="1:10" ht="15.75" outlineLevel="4">
      <c r="A181" s="18" t="s">
        <v>142</v>
      </c>
      <c r="B181" s="19" t="s">
        <v>138</v>
      </c>
      <c r="C181" s="20" t="s">
        <v>6</v>
      </c>
      <c r="D181" s="20" t="s">
        <v>81</v>
      </c>
      <c r="E181" s="20" t="s">
        <v>143</v>
      </c>
      <c r="F181" s="20" t="s">
        <v>4</v>
      </c>
      <c r="G181" s="40">
        <f>G182+G186+G188</f>
        <v>8086.2000000000007</v>
      </c>
      <c r="H181" s="40">
        <f t="shared" ref="H181:I181" si="71">H182+H186+H188</f>
        <v>7806.2999999999993</v>
      </c>
      <c r="I181" s="40">
        <f t="shared" si="71"/>
        <v>7806.2999999999993</v>
      </c>
      <c r="J181" s="1"/>
    </row>
    <row r="182" spans="1:10" ht="47.25" outlineLevel="6">
      <c r="A182" s="18" t="s">
        <v>21</v>
      </c>
      <c r="B182" s="19" t="s">
        <v>138</v>
      </c>
      <c r="C182" s="20" t="s">
        <v>6</v>
      </c>
      <c r="D182" s="20" t="s">
        <v>81</v>
      </c>
      <c r="E182" s="20" t="s">
        <v>144</v>
      </c>
      <c r="F182" s="20" t="s">
        <v>4</v>
      </c>
      <c r="G182" s="40">
        <f>G183+G184+G185</f>
        <v>2554.2000000000003</v>
      </c>
      <c r="H182" s="40">
        <f t="shared" ref="H182:I182" si="72">H183+H184+H185</f>
        <v>3092</v>
      </c>
      <c r="I182" s="40">
        <f t="shared" si="72"/>
        <v>3092</v>
      </c>
      <c r="J182" s="1"/>
    </row>
    <row r="183" spans="1:10" ht="126" customHeight="1" outlineLevel="7">
      <c r="A183" s="18" t="s">
        <v>17</v>
      </c>
      <c r="B183" s="19" t="s">
        <v>138</v>
      </c>
      <c r="C183" s="20" t="s">
        <v>6</v>
      </c>
      <c r="D183" s="20" t="s">
        <v>81</v>
      </c>
      <c r="E183" s="20" t="s">
        <v>144</v>
      </c>
      <c r="F183" s="20" t="s">
        <v>18</v>
      </c>
      <c r="G183" s="40">
        <f>2517.8+95.1-353+367.3-20-206</f>
        <v>2401.2000000000003</v>
      </c>
      <c r="H183" s="40">
        <v>2517.8000000000002</v>
      </c>
      <c r="I183" s="40">
        <v>2517.8000000000002</v>
      </c>
      <c r="J183" s="1"/>
    </row>
    <row r="184" spans="1:10" ht="63" outlineLevel="7">
      <c r="A184" s="18" t="s">
        <v>27</v>
      </c>
      <c r="B184" s="19" t="s">
        <v>138</v>
      </c>
      <c r="C184" s="20" t="s">
        <v>6</v>
      </c>
      <c r="D184" s="20" t="s">
        <v>81</v>
      </c>
      <c r="E184" s="20" t="s">
        <v>144</v>
      </c>
      <c r="F184" s="20" t="s">
        <v>28</v>
      </c>
      <c r="G184" s="40">
        <f>569.2-3-249.2-3-167</f>
        <v>147.00000000000006</v>
      </c>
      <c r="H184" s="40">
        <v>569.20000000000005</v>
      </c>
      <c r="I184" s="40">
        <v>569.20000000000005</v>
      </c>
      <c r="J184" s="1"/>
    </row>
    <row r="185" spans="1:10" ht="31.5" outlineLevel="7">
      <c r="A185" s="18" t="s">
        <v>63</v>
      </c>
      <c r="B185" s="19" t="s">
        <v>138</v>
      </c>
      <c r="C185" s="20" t="s">
        <v>6</v>
      </c>
      <c r="D185" s="20" t="s">
        <v>81</v>
      </c>
      <c r="E185" s="20" t="s">
        <v>144</v>
      </c>
      <c r="F185" s="20" t="s">
        <v>64</v>
      </c>
      <c r="G185" s="40">
        <f>5+3-5+3</f>
        <v>6</v>
      </c>
      <c r="H185" s="40">
        <v>5</v>
      </c>
      <c r="I185" s="40">
        <v>5</v>
      </c>
      <c r="J185" s="1"/>
    </row>
    <row r="186" spans="1:10" ht="47.25" outlineLevel="6">
      <c r="A186" s="18" t="s">
        <v>145</v>
      </c>
      <c r="B186" s="19" t="s">
        <v>138</v>
      </c>
      <c r="C186" s="20" t="s">
        <v>6</v>
      </c>
      <c r="D186" s="20" t="s">
        <v>81</v>
      </c>
      <c r="E186" s="20" t="s">
        <v>146</v>
      </c>
      <c r="F186" s="20" t="s">
        <v>4</v>
      </c>
      <c r="G186" s="40">
        <f>G187</f>
        <v>2422.7000000000003</v>
      </c>
      <c r="H186" s="40">
        <f t="shared" ref="H186:I186" si="73">H187</f>
        <v>2066.4</v>
      </c>
      <c r="I186" s="40">
        <f t="shared" si="73"/>
        <v>2066.4</v>
      </c>
      <c r="J186" s="1"/>
    </row>
    <row r="187" spans="1:10" ht="126.75" customHeight="1" outlineLevel="7">
      <c r="A187" s="18" t="s">
        <v>17</v>
      </c>
      <c r="B187" s="19" t="s">
        <v>138</v>
      </c>
      <c r="C187" s="20" t="s">
        <v>6</v>
      </c>
      <c r="D187" s="20" t="s">
        <v>81</v>
      </c>
      <c r="E187" s="20" t="s">
        <v>146</v>
      </c>
      <c r="F187" s="20" t="s">
        <v>18</v>
      </c>
      <c r="G187" s="40">
        <f>2066.4+77.5+20+258.8</f>
        <v>2422.7000000000003</v>
      </c>
      <c r="H187" s="40">
        <v>2066.4</v>
      </c>
      <c r="I187" s="40">
        <v>2066.4</v>
      </c>
      <c r="J187" s="1"/>
    </row>
    <row r="188" spans="1:10" ht="47.25" outlineLevel="6">
      <c r="A188" s="18" t="s">
        <v>147</v>
      </c>
      <c r="B188" s="19" t="s">
        <v>138</v>
      </c>
      <c r="C188" s="20" t="s">
        <v>6</v>
      </c>
      <c r="D188" s="20" t="s">
        <v>81</v>
      </c>
      <c r="E188" s="20" t="s">
        <v>148</v>
      </c>
      <c r="F188" s="20" t="s">
        <v>4</v>
      </c>
      <c r="G188" s="40">
        <f>G189</f>
        <v>3109.3</v>
      </c>
      <c r="H188" s="40">
        <f t="shared" ref="H188:I188" si="74">H189</f>
        <v>2647.9</v>
      </c>
      <c r="I188" s="40">
        <f t="shared" si="74"/>
        <v>2647.9</v>
      </c>
      <c r="J188" s="1"/>
    </row>
    <row r="189" spans="1:10" ht="125.25" customHeight="1" outlineLevel="7">
      <c r="A189" s="18" t="s">
        <v>17</v>
      </c>
      <c r="B189" s="19" t="s">
        <v>138</v>
      </c>
      <c r="C189" s="20" t="s">
        <v>6</v>
      </c>
      <c r="D189" s="20" t="s">
        <v>81</v>
      </c>
      <c r="E189" s="20" t="s">
        <v>148</v>
      </c>
      <c r="F189" s="20" t="s">
        <v>18</v>
      </c>
      <c r="G189" s="40">
        <f>2647.9+96.5+364.9</f>
        <v>3109.3</v>
      </c>
      <c r="H189" s="40">
        <v>2647.9</v>
      </c>
      <c r="I189" s="40">
        <v>2647.9</v>
      </c>
      <c r="J189" s="1"/>
    </row>
    <row r="190" spans="1:10" ht="47.25">
      <c r="A190" s="12" t="s">
        <v>149</v>
      </c>
      <c r="B190" s="13" t="s">
        <v>150</v>
      </c>
      <c r="C190" s="14" t="s">
        <v>2</v>
      </c>
      <c r="D190" s="14" t="s">
        <v>2</v>
      </c>
      <c r="E190" s="14" t="s">
        <v>3</v>
      </c>
      <c r="F190" s="14" t="s">
        <v>4</v>
      </c>
      <c r="G190" s="38">
        <f>G200+G225+G264+G356+G191</f>
        <v>851686.63500000001</v>
      </c>
      <c r="H190" s="38">
        <f>H200+H225+H264+H356</f>
        <v>363741.2</v>
      </c>
      <c r="I190" s="38">
        <f>I200+I225+I264+I356</f>
        <v>353071.2</v>
      </c>
      <c r="J190" s="1"/>
    </row>
    <row r="191" spans="1:10" ht="31.5">
      <c r="A191" s="26" t="s">
        <v>5</v>
      </c>
      <c r="B191" s="27" t="s">
        <v>150</v>
      </c>
      <c r="C191" s="14" t="s">
        <v>6</v>
      </c>
      <c r="D191" s="14" t="s">
        <v>2</v>
      </c>
      <c r="E191" s="14" t="s">
        <v>3</v>
      </c>
      <c r="F191" s="14" t="s">
        <v>4</v>
      </c>
      <c r="G191" s="38">
        <f>G192</f>
        <v>32392.54</v>
      </c>
      <c r="H191" s="38">
        <f t="shared" ref="H191:I197" si="75">H192</f>
        <v>0</v>
      </c>
      <c r="I191" s="38">
        <f t="shared" si="75"/>
        <v>0</v>
      </c>
      <c r="J191" s="1"/>
    </row>
    <row r="192" spans="1:10" ht="31.5">
      <c r="A192" s="28" t="s">
        <v>682</v>
      </c>
      <c r="B192" s="29" t="s">
        <v>150</v>
      </c>
      <c r="C192" s="17" t="s">
        <v>6</v>
      </c>
      <c r="D192" s="17" t="s">
        <v>49</v>
      </c>
      <c r="E192" s="17" t="s">
        <v>3</v>
      </c>
      <c r="F192" s="17" t="s">
        <v>4</v>
      </c>
      <c r="G192" s="39">
        <f>G193</f>
        <v>32392.54</v>
      </c>
      <c r="H192" s="39">
        <f t="shared" si="75"/>
        <v>0</v>
      </c>
      <c r="I192" s="39">
        <f t="shared" si="75"/>
        <v>0</v>
      </c>
      <c r="J192" s="1"/>
    </row>
    <row r="193" spans="1:10" ht="31.5">
      <c r="A193" s="18" t="s">
        <v>140</v>
      </c>
      <c r="B193" s="22" t="s">
        <v>150</v>
      </c>
      <c r="C193" s="20" t="s">
        <v>6</v>
      </c>
      <c r="D193" s="20" t="s">
        <v>49</v>
      </c>
      <c r="E193" s="20" t="s">
        <v>141</v>
      </c>
      <c r="F193" s="20" t="s">
        <v>4</v>
      </c>
      <c r="G193" s="40">
        <f>G194</f>
        <v>32392.54</v>
      </c>
      <c r="H193" s="40">
        <f>H194</f>
        <v>0</v>
      </c>
      <c r="I193" s="40">
        <f>I194</f>
        <v>0</v>
      </c>
      <c r="J193" s="1"/>
    </row>
    <row r="194" spans="1:10" ht="15.75">
      <c r="A194" s="18" t="s">
        <v>142</v>
      </c>
      <c r="B194" s="22" t="s">
        <v>150</v>
      </c>
      <c r="C194" s="20" t="s">
        <v>6</v>
      </c>
      <c r="D194" s="20" t="s">
        <v>49</v>
      </c>
      <c r="E194" s="20" t="s">
        <v>143</v>
      </c>
      <c r="F194" s="20" t="s">
        <v>4</v>
      </c>
      <c r="G194" s="40">
        <f>G197+G195</f>
        <v>32392.54</v>
      </c>
      <c r="H194" s="40">
        <f>H197</f>
        <v>0</v>
      </c>
      <c r="I194" s="40">
        <f>I197</f>
        <v>0</v>
      </c>
      <c r="J194" s="1"/>
    </row>
    <row r="195" spans="1:10" ht="330.75">
      <c r="A195" s="30" t="s">
        <v>696</v>
      </c>
      <c r="B195" s="22" t="s">
        <v>150</v>
      </c>
      <c r="C195" s="20" t="s">
        <v>6</v>
      </c>
      <c r="D195" s="20" t="s">
        <v>49</v>
      </c>
      <c r="E195" s="20" t="s">
        <v>695</v>
      </c>
      <c r="F195" s="20" t="s">
        <v>4</v>
      </c>
      <c r="G195" s="40">
        <f>G196</f>
        <v>18010.34</v>
      </c>
      <c r="H195" s="40">
        <f t="shared" ref="H195:I195" si="76">H196</f>
        <v>0</v>
      </c>
      <c r="I195" s="40">
        <f t="shared" si="76"/>
        <v>0</v>
      </c>
      <c r="J195" s="1"/>
    </row>
    <row r="196" spans="1:10" ht="63">
      <c r="A196" s="18" t="s">
        <v>27</v>
      </c>
      <c r="B196" s="22" t="s">
        <v>150</v>
      </c>
      <c r="C196" s="20" t="s">
        <v>6</v>
      </c>
      <c r="D196" s="20" t="s">
        <v>49</v>
      </c>
      <c r="E196" s="20" t="s">
        <v>695</v>
      </c>
      <c r="F196" s="20" t="s">
        <v>28</v>
      </c>
      <c r="G196" s="40">
        <f>175.3+3476.7+2981.36+2794.1+2604.2+3126.13+2852.55</f>
        <v>18010.34</v>
      </c>
      <c r="H196" s="40">
        <v>0</v>
      </c>
      <c r="I196" s="40">
        <v>0</v>
      </c>
      <c r="J196" s="1"/>
    </row>
    <row r="197" spans="1:10" ht="297.75" customHeight="1">
      <c r="A197" s="31" t="s">
        <v>694</v>
      </c>
      <c r="B197" s="22" t="s">
        <v>150</v>
      </c>
      <c r="C197" s="20" t="s">
        <v>6</v>
      </c>
      <c r="D197" s="20" t="s">
        <v>49</v>
      </c>
      <c r="E197" s="20" t="s">
        <v>683</v>
      </c>
      <c r="F197" s="20" t="s">
        <v>4</v>
      </c>
      <c r="G197" s="40">
        <f>G198</f>
        <v>14382.2</v>
      </c>
      <c r="H197" s="40">
        <f t="shared" si="75"/>
        <v>0</v>
      </c>
      <c r="I197" s="40">
        <f t="shared" si="75"/>
        <v>0</v>
      </c>
      <c r="J197" s="1"/>
    </row>
    <row r="198" spans="1:10" ht="63">
      <c r="A198" s="18" t="s">
        <v>27</v>
      </c>
      <c r="B198" s="22" t="s">
        <v>150</v>
      </c>
      <c r="C198" s="20" t="s">
        <v>6</v>
      </c>
      <c r="D198" s="20" t="s">
        <v>49</v>
      </c>
      <c r="E198" s="20" t="s">
        <v>683</v>
      </c>
      <c r="F198" s="20" t="s">
        <v>28</v>
      </c>
      <c r="G198" s="40">
        <f>2700+900+384+3705.1+3266.9+3426.2</f>
        <v>14382.2</v>
      </c>
      <c r="H198" s="40">
        <v>0</v>
      </c>
      <c r="I198" s="40">
        <v>0</v>
      </c>
      <c r="J198" s="1"/>
    </row>
    <row r="199" spans="1:10" ht="15.75" hidden="1">
      <c r="A199" s="18"/>
      <c r="B199" s="19"/>
      <c r="C199" s="20"/>
      <c r="D199" s="20"/>
      <c r="E199" s="20"/>
      <c r="F199" s="20"/>
      <c r="G199" s="40"/>
      <c r="H199" s="40"/>
      <c r="I199" s="40"/>
      <c r="J199" s="1"/>
    </row>
    <row r="200" spans="1:10" ht="63" outlineLevel="1">
      <c r="A200" s="12" t="s">
        <v>80</v>
      </c>
      <c r="B200" s="13" t="s">
        <v>150</v>
      </c>
      <c r="C200" s="14" t="s">
        <v>81</v>
      </c>
      <c r="D200" s="14" t="s">
        <v>2</v>
      </c>
      <c r="E200" s="14" t="s">
        <v>3</v>
      </c>
      <c r="F200" s="14" t="s">
        <v>4</v>
      </c>
      <c r="G200" s="38">
        <f>G201</f>
        <v>17364.674999999999</v>
      </c>
      <c r="H200" s="38">
        <f t="shared" ref="H200:I200" si="77">H201</f>
        <v>16086.1</v>
      </c>
      <c r="I200" s="38">
        <f t="shared" si="77"/>
        <v>16086.1</v>
      </c>
      <c r="J200" s="1"/>
    </row>
    <row r="201" spans="1:10" ht="63" outlineLevel="2">
      <c r="A201" s="15" t="s">
        <v>151</v>
      </c>
      <c r="B201" s="16" t="s">
        <v>150</v>
      </c>
      <c r="C201" s="17" t="s">
        <v>81</v>
      </c>
      <c r="D201" s="17" t="s">
        <v>106</v>
      </c>
      <c r="E201" s="17" t="s">
        <v>3</v>
      </c>
      <c r="F201" s="17" t="s">
        <v>4</v>
      </c>
      <c r="G201" s="39">
        <f>G202+G209</f>
        <v>17364.674999999999</v>
      </c>
      <c r="H201" s="39">
        <f t="shared" ref="H201:I201" si="78">H202+H209</f>
        <v>16086.1</v>
      </c>
      <c r="I201" s="39">
        <f t="shared" si="78"/>
        <v>16086.1</v>
      </c>
      <c r="J201" s="1"/>
    </row>
    <row r="202" spans="1:10" ht="63" outlineLevel="3">
      <c r="A202" s="18" t="s">
        <v>132</v>
      </c>
      <c r="B202" s="19" t="s">
        <v>150</v>
      </c>
      <c r="C202" s="20" t="s">
        <v>81</v>
      </c>
      <c r="D202" s="20" t="s">
        <v>106</v>
      </c>
      <c r="E202" s="20" t="s">
        <v>133</v>
      </c>
      <c r="F202" s="20" t="s">
        <v>4</v>
      </c>
      <c r="G202" s="40">
        <f>G203</f>
        <v>200</v>
      </c>
      <c r="H202" s="40">
        <f t="shared" ref="H202:I204" si="79">H203</f>
        <v>200</v>
      </c>
      <c r="I202" s="40">
        <f t="shared" si="79"/>
        <v>200</v>
      </c>
      <c r="J202" s="1"/>
    </row>
    <row r="203" spans="1:10" ht="31.5" outlineLevel="4">
      <c r="A203" s="18" t="s">
        <v>11</v>
      </c>
      <c r="B203" s="19" t="s">
        <v>150</v>
      </c>
      <c r="C203" s="20" t="s">
        <v>81</v>
      </c>
      <c r="D203" s="20" t="s">
        <v>106</v>
      </c>
      <c r="E203" s="20" t="s">
        <v>134</v>
      </c>
      <c r="F203" s="20" t="s">
        <v>4</v>
      </c>
      <c r="G203" s="40">
        <f>G204</f>
        <v>200</v>
      </c>
      <c r="H203" s="40">
        <f t="shared" si="79"/>
        <v>200</v>
      </c>
      <c r="I203" s="40">
        <f t="shared" si="79"/>
        <v>200</v>
      </c>
      <c r="J203" s="1"/>
    </row>
    <row r="204" spans="1:10" ht="63" outlineLevel="5">
      <c r="A204" s="18" t="s">
        <v>152</v>
      </c>
      <c r="B204" s="19" t="s">
        <v>150</v>
      </c>
      <c r="C204" s="20" t="s">
        <v>81</v>
      </c>
      <c r="D204" s="20" t="s">
        <v>106</v>
      </c>
      <c r="E204" s="20" t="s">
        <v>153</v>
      </c>
      <c r="F204" s="20" t="s">
        <v>4</v>
      </c>
      <c r="G204" s="40">
        <f>G205+G207</f>
        <v>200</v>
      </c>
      <c r="H204" s="40">
        <f t="shared" si="79"/>
        <v>200</v>
      </c>
      <c r="I204" s="40">
        <f t="shared" si="79"/>
        <v>200</v>
      </c>
      <c r="J204" s="1"/>
    </row>
    <row r="205" spans="1:10" ht="63" outlineLevel="6">
      <c r="A205" s="18" t="s">
        <v>154</v>
      </c>
      <c r="B205" s="19" t="s">
        <v>150</v>
      </c>
      <c r="C205" s="20" t="s">
        <v>81</v>
      </c>
      <c r="D205" s="20" t="s">
        <v>106</v>
      </c>
      <c r="E205" s="20" t="s">
        <v>155</v>
      </c>
      <c r="F205" s="20" t="s">
        <v>4</v>
      </c>
      <c r="G205" s="40">
        <f>G206</f>
        <v>185</v>
      </c>
      <c r="H205" s="40">
        <f t="shared" ref="H205:I205" si="80">H206</f>
        <v>200</v>
      </c>
      <c r="I205" s="40">
        <f t="shared" si="80"/>
        <v>200</v>
      </c>
      <c r="J205" s="1"/>
    </row>
    <row r="206" spans="1:10" ht="63" outlineLevel="7">
      <c r="A206" s="18" t="s">
        <v>27</v>
      </c>
      <c r="B206" s="19" t="s">
        <v>150</v>
      </c>
      <c r="C206" s="20" t="s">
        <v>81</v>
      </c>
      <c r="D206" s="20" t="s">
        <v>106</v>
      </c>
      <c r="E206" s="20" t="s">
        <v>155</v>
      </c>
      <c r="F206" s="20" t="s">
        <v>28</v>
      </c>
      <c r="G206" s="40">
        <f>200-15</f>
        <v>185</v>
      </c>
      <c r="H206" s="40">
        <v>200</v>
      </c>
      <c r="I206" s="40">
        <v>200</v>
      </c>
      <c r="J206" s="1"/>
    </row>
    <row r="207" spans="1:10" ht="48" customHeight="1" outlineLevel="7">
      <c r="A207" s="18" t="s">
        <v>699</v>
      </c>
      <c r="B207" s="19" t="s">
        <v>150</v>
      </c>
      <c r="C207" s="20" t="s">
        <v>81</v>
      </c>
      <c r="D207" s="20" t="s">
        <v>106</v>
      </c>
      <c r="E207" s="20" t="s">
        <v>698</v>
      </c>
      <c r="F207" s="20" t="s">
        <v>4</v>
      </c>
      <c r="G207" s="40">
        <f>G208</f>
        <v>15</v>
      </c>
      <c r="H207" s="40">
        <f t="shared" ref="H207:I207" si="81">H208</f>
        <v>0</v>
      </c>
      <c r="I207" s="40">
        <f t="shared" si="81"/>
        <v>0</v>
      </c>
      <c r="J207" s="1"/>
    </row>
    <row r="208" spans="1:10" ht="63" outlineLevel="7">
      <c r="A208" s="18" t="s">
        <v>27</v>
      </c>
      <c r="B208" s="19" t="s">
        <v>150</v>
      </c>
      <c r="C208" s="20" t="s">
        <v>81</v>
      </c>
      <c r="D208" s="20" t="s">
        <v>106</v>
      </c>
      <c r="E208" s="20" t="s">
        <v>698</v>
      </c>
      <c r="F208" s="20" t="s">
        <v>28</v>
      </c>
      <c r="G208" s="40">
        <v>15</v>
      </c>
      <c r="H208" s="40">
        <v>0</v>
      </c>
      <c r="I208" s="40">
        <v>0</v>
      </c>
      <c r="J208" s="1"/>
    </row>
    <row r="209" spans="1:10" ht="110.25" outlineLevel="3">
      <c r="A209" s="18" t="s">
        <v>156</v>
      </c>
      <c r="B209" s="19" t="s">
        <v>150</v>
      </c>
      <c r="C209" s="20" t="s">
        <v>81</v>
      </c>
      <c r="D209" s="20" t="s">
        <v>106</v>
      </c>
      <c r="E209" s="20" t="s">
        <v>157</v>
      </c>
      <c r="F209" s="20" t="s">
        <v>4</v>
      </c>
      <c r="G209" s="40">
        <f>G210</f>
        <v>17164.674999999999</v>
      </c>
      <c r="H209" s="40">
        <f t="shared" ref="H209:I209" si="82">H210</f>
        <v>15886.1</v>
      </c>
      <c r="I209" s="40">
        <f t="shared" si="82"/>
        <v>15886.1</v>
      </c>
      <c r="J209" s="1"/>
    </row>
    <row r="210" spans="1:10" ht="31.5" outlineLevel="4">
      <c r="A210" s="18" t="s">
        <v>11</v>
      </c>
      <c r="B210" s="19" t="s">
        <v>150</v>
      </c>
      <c r="C210" s="20" t="s">
        <v>81</v>
      </c>
      <c r="D210" s="20" t="s">
        <v>106</v>
      </c>
      <c r="E210" s="20" t="s">
        <v>158</v>
      </c>
      <c r="F210" s="20" t="s">
        <v>4</v>
      </c>
      <c r="G210" s="40">
        <f>G211+G216+G219+G222</f>
        <v>17164.674999999999</v>
      </c>
      <c r="H210" s="40">
        <f t="shared" ref="H210:I210" si="83">H211+H216+H219+H222</f>
        <v>15886.1</v>
      </c>
      <c r="I210" s="40">
        <f t="shared" si="83"/>
        <v>15886.1</v>
      </c>
      <c r="J210" s="1"/>
    </row>
    <row r="211" spans="1:10" ht="126" outlineLevel="5">
      <c r="A211" s="18" t="s">
        <v>159</v>
      </c>
      <c r="B211" s="19" t="s">
        <v>150</v>
      </c>
      <c r="C211" s="20" t="s">
        <v>81</v>
      </c>
      <c r="D211" s="20" t="s">
        <v>106</v>
      </c>
      <c r="E211" s="20" t="s">
        <v>160</v>
      </c>
      <c r="F211" s="20" t="s">
        <v>4</v>
      </c>
      <c r="G211" s="40">
        <f>G212</f>
        <v>16015.575000000001</v>
      </c>
      <c r="H211" s="40">
        <f t="shared" ref="H211:I211" si="84">H212</f>
        <v>14825.9</v>
      </c>
      <c r="I211" s="40">
        <f t="shared" si="84"/>
        <v>14825.9</v>
      </c>
      <c r="J211" s="1"/>
    </row>
    <row r="212" spans="1:10" ht="94.5" outlineLevel="6">
      <c r="A212" s="18" t="s">
        <v>161</v>
      </c>
      <c r="B212" s="19" t="s">
        <v>150</v>
      </c>
      <c r="C212" s="20" t="s">
        <v>81</v>
      </c>
      <c r="D212" s="20" t="s">
        <v>106</v>
      </c>
      <c r="E212" s="20" t="s">
        <v>162</v>
      </c>
      <c r="F212" s="20" t="s">
        <v>4</v>
      </c>
      <c r="G212" s="40">
        <f>G213+G214+G215</f>
        <v>16015.575000000001</v>
      </c>
      <c r="H212" s="40">
        <f t="shared" ref="H212:I212" si="85">H213+H214+H215</f>
        <v>14825.9</v>
      </c>
      <c r="I212" s="40">
        <f t="shared" si="85"/>
        <v>14825.9</v>
      </c>
      <c r="J212" s="1"/>
    </row>
    <row r="213" spans="1:10" ht="129" customHeight="1" outlineLevel="7">
      <c r="A213" s="18" t="s">
        <v>17</v>
      </c>
      <c r="B213" s="19" t="s">
        <v>150</v>
      </c>
      <c r="C213" s="20" t="s">
        <v>81</v>
      </c>
      <c r="D213" s="20" t="s">
        <v>106</v>
      </c>
      <c r="E213" s="20" t="s">
        <v>162</v>
      </c>
      <c r="F213" s="20" t="s">
        <v>18</v>
      </c>
      <c r="G213" s="40">
        <f>12200.5+436.6+196.2+194.5+451.275</f>
        <v>13479.075000000001</v>
      </c>
      <c r="H213" s="40">
        <v>12200.5</v>
      </c>
      <c r="I213" s="40">
        <v>12200.5</v>
      </c>
      <c r="J213" s="1"/>
    </row>
    <row r="214" spans="1:10" ht="63" outlineLevel="7">
      <c r="A214" s="18" t="s">
        <v>27</v>
      </c>
      <c r="B214" s="19" t="s">
        <v>150</v>
      </c>
      <c r="C214" s="20" t="s">
        <v>81</v>
      </c>
      <c r="D214" s="20" t="s">
        <v>106</v>
      </c>
      <c r="E214" s="20" t="s">
        <v>162</v>
      </c>
      <c r="F214" s="20" t="s">
        <v>28</v>
      </c>
      <c r="G214" s="40">
        <f>2608.4-23.9-65</f>
        <v>2519.5</v>
      </c>
      <c r="H214" s="40">
        <v>2608.4</v>
      </c>
      <c r="I214" s="40">
        <v>2608.4</v>
      </c>
      <c r="J214" s="1"/>
    </row>
    <row r="215" spans="1:10" ht="31.5" outlineLevel="7">
      <c r="A215" s="18" t="s">
        <v>63</v>
      </c>
      <c r="B215" s="19" t="s">
        <v>150</v>
      </c>
      <c r="C215" s="20" t="s">
        <v>81</v>
      </c>
      <c r="D215" s="20" t="s">
        <v>106</v>
      </c>
      <c r="E215" s="20" t="s">
        <v>162</v>
      </c>
      <c r="F215" s="20" t="s">
        <v>64</v>
      </c>
      <c r="G215" s="40">
        <v>17</v>
      </c>
      <c r="H215" s="40">
        <v>17</v>
      </c>
      <c r="I215" s="40">
        <v>17</v>
      </c>
      <c r="J215" s="1"/>
    </row>
    <row r="216" spans="1:10" ht="80.25" customHeight="1" outlineLevel="5">
      <c r="A216" s="18" t="s">
        <v>163</v>
      </c>
      <c r="B216" s="19" t="s">
        <v>150</v>
      </c>
      <c r="C216" s="20" t="s">
        <v>81</v>
      </c>
      <c r="D216" s="20" t="s">
        <v>106</v>
      </c>
      <c r="E216" s="20" t="s">
        <v>164</v>
      </c>
      <c r="F216" s="20" t="s">
        <v>4</v>
      </c>
      <c r="G216" s="40">
        <f>G217</f>
        <v>240.9</v>
      </c>
      <c r="H216" s="40">
        <f t="shared" ref="H216:I216" si="86">H217</f>
        <v>147</v>
      </c>
      <c r="I216" s="40">
        <f t="shared" si="86"/>
        <v>147</v>
      </c>
      <c r="J216" s="1"/>
    </row>
    <row r="217" spans="1:10" ht="48.75" customHeight="1" outlineLevel="6">
      <c r="A217" s="18" t="s">
        <v>165</v>
      </c>
      <c r="B217" s="19" t="s">
        <v>150</v>
      </c>
      <c r="C217" s="20" t="s">
        <v>81</v>
      </c>
      <c r="D217" s="20" t="s">
        <v>106</v>
      </c>
      <c r="E217" s="20" t="s">
        <v>166</v>
      </c>
      <c r="F217" s="20" t="s">
        <v>4</v>
      </c>
      <c r="G217" s="40">
        <f>G218</f>
        <v>240.9</v>
      </c>
      <c r="H217" s="40">
        <f t="shared" ref="H217:I217" si="87">H218</f>
        <v>147</v>
      </c>
      <c r="I217" s="40">
        <f t="shared" si="87"/>
        <v>147</v>
      </c>
      <c r="J217" s="1"/>
    </row>
    <row r="218" spans="1:10" ht="63" outlineLevel="7">
      <c r="A218" s="18" t="s">
        <v>27</v>
      </c>
      <c r="B218" s="19" t="s">
        <v>150</v>
      </c>
      <c r="C218" s="20" t="s">
        <v>81</v>
      </c>
      <c r="D218" s="20" t="s">
        <v>106</v>
      </c>
      <c r="E218" s="20" t="s">
        <v>166</v>
      </c>
      <c r="F218" s="20" t="s">
        <v>28</v>
      </c>
      <c r="G218" s="40">
        <f>147+23.9+70</f>
        <v>240.9</v>
      </c>
      <c r="H218" s="40">
        <v>147</v>
      </c>
      <c r="I218" s="40">
        <v>147</v>
      </c>
      <c r="J218" s="1"/>
    </row>
    <row r="219" spans="1:10" ht="78.75" outlineLevel="5">
      <c r="A219" s="18" t="s">
        <v>167</v>
      </c>
      <c r="B219" s="19" t="s">
        <v>150</v>
      </c>
      <c r="C219" s="20" t="s">
        <v>81</v>
      </c>
      <c r="D219" s="20" t="s">
        <v>106</v>
      </c>
      <c r="E219" s="20" t="s">
        <v>168</v>
      </c>
      <c r="F219" s="20" t="s">
        <v>4</v>
      </c>
      <c r="G219" s="40">
        <f>G220</f>
        <v>0</v>
      </c>
      <c r="H219" s="40">
        <f t="shared" ref="H219:I220" si="88">H220</f>
        <v>35</v>
      </c>
      <c r="I219" s="40">
        <f t="shared" si="88"/>
        <v>35</v>
      </c>
      <c r="J219" s="1"/>
    </row>
    <row r="220" spans="1:10" ht="141.75" outlineLevel="6">
      <c r="A220" s="18" t="s">
        <v>169</v>
      </c>
      <c r="B220" s="19" t="s">
        <v>150</v>
      </c>
      <c r="C220" s="20" t="s">
        <v>81</v>
      </c>
      <c r="D220" s="20" t="s">
        <v>106</v>
      </c>
      <c r="E220" s="20" t="s">
        <v>170</v>
      </c>
      <c r="F220" s="20" t="s">
        <v>4</v>
      </c>
      <c r="G220" s="40">
        <f>G221</f>
        <v>0</v>
      </c>
      <c r="H220" s="40">
        <f t="shared" si="88"/>
        <v>35</v>
      </c>
      <c r="I220" s="40">
        <f t="shared" si="88"/>
        <v>35</v>
      </c>
      <c r="J220" s="1"/>
    </row>
    <row r="221" spans="1:10" ht="63" outlineLevel="7">
      <c r="A221" s="18" t="s">
        <v>27</v>
      </c>
      <c r="B221" s="19" t="s">
        <v>150</v>
      </c>
      <c r="C221" s="20" t="s">
        <v>81</v>
      </c>
      <c r="D221" s="20" t="s">
        <v>106</v>
      </c>
      <c r="E221" s="20" t="s">
        <v>170</v>
      </c>
      <c r="F221" s="20" t="s">
        <v>28</v>
      </c>
      <c r="G221" s="40">
        <f>35-35</f>
        <v>0</v>
      </c>
      <c r="H221" s="40">
        <v>35</v>
      </c>
      <c r="I221" s="40">
        <v>35</v>
      </c>
      <c r="J221" s="1"/>
    </row>
    <row r="222" spans="1:10" ht="63" outlineLevel="5">
      <c r="A222" s="18" t="s">
        <v>171</v>
      </c>
      <c r="B222" s="19" t="s">
        <v>150</v>
      </c>
      <c r="C222" s="20" t="s">
        <v>81</v>
      </c>
      <c r="D222" s="20" t="s">
        <v>106</v>
      </c>
      <c r="E222" s="20" t="s">
        <v>172</v>
      </c>
      <c r="F222" s="20" t="s">
        <v>4</v>
      </c>
      <c r="G222" s="40">
        <f>G223</f>
        <v>908.2</v>
      </c>
      <c r="H222" s="40">
        <f t="shared" ref="H222:I222" si="89">H223</f>
        <v>878.2</v>
      </c>
      <c r="I222" s="40">
        <f t="shared" si="89"/>
        <v>878.2</v>
      </c>
      <c r="J222" s="1"/>
    </row>
    <row r="223" spans="1:10" ht="47.25" outlineLevel="6">
      <c r="A223" s="18" t="s">
        <v>173</v>
      </c>
      <c r="B223" s="19" t="s">
        <v>150</v>
      </c>
      <c r="C223" s="20" t="s">
        <v>81</v>
      </c>
      <c r="D223" s="20" t="s">
        <v>106</v>
      </c>
      <c r="E223" s="20" t="s">
        <v>174</v>
      </c>
      <c r="F223" s="20" t="s">
        <v>4</v>
      </c>
      <c r="G223" s="40">
        <f>G224</f>
        <v>908.2</v>
      </c>
      <c r="H223" s="40">
        <f t="shared" ref="H223:I223" si="90">H224</f>
        <v>878.2</v>
      </c>
      <c r="I223" s="40">
        <f t="shared" si="90"/>
        <v>878.2</v>
      </c>
      <c r="J223" s="1"/>
    </row>
    <row r="224" spans="1:10" ht="63" outlineLevel="7">
      <c r="A224" s="18" t="s">
        <v>27</v>
      </c>
      <c r="B224" s="19" t="s">
        <v>150</v>
      </c>
      <c r="C224" s="20" t="s">
        <v>81</v>
      </c>
      <c r="D224" s="20" t="s">
        <v>106</v>
      </c>
      <c r="E224" s="20" t="s">
        <v>174</v>
      </c>
      <c r="F224" s="20" t="s">
        <v>28</v>
      </c>
      <c r="G224" s="40">
        <f>878.2+30</f>
        <v>908.2</v>
      </c>
      <c r="H224" s="40">
        <v>878.2</v>
      </c>
      <c r="I224" s="40">
        <v>878.2</v>
      </c>
      <c r="J224" s="1"/>
    </row>
    <row r="225" spans="1:10" ht="31.5" outlineLevel="1">
      <c r="A225" s="12" t="s">
        <v>91</v>
      </c>
      <c r="B225" s="13" t="s">
        <v>150</v>
      </c>
      <c r="C225" s="14" t="s">
        <v>20</v>
      </c>
      <c r="D225" s="14" t="s">
        <v>2</v>
      </c>
      <c r="E225" s="14" t="s">
        <v>3</v>
      </c>
      <c r="F225" s="14" t="s">
        <v>4</v>
      </c>
      <c r="G225" s="38">
        <f>G235+G258+G226</f>
        <v>248965.60000000003</v>
      </c>
      <c r="H225" s="38">
        <f t="shared" ref="H225:I225" si="91">H235+H258</f>
        <v>71718.2</v>
      </c>
      <c r="I225" s="38">
        <f t="shared" si="91"/>
        <v>97336</v>
      </c>
      <c r="J225" s="1"/>
    </row>
    <row r="226" spans="1:10" ht="15.75" outlineLevel="1">
      <c r="A226" s="28" t="s">
        <v>684</v>
      </c>
      <c r="B226" s="29" t="s">
        <v>150</v>
      </c>
      <c r="C226" s="17" t="s">
        <v>20</v>
      </c>
      <c r="D226" s="17" t="s">
        <v>352</v>
      </c>
      <c r="E226" s="17" t="s">
        <v>3</v>
      </c>
      <c r="F226" s="17" t="s">
        <v>4</v>
      </c>
      <c r="G226" s="40">
        <f>G227</f>
        <v>33368.5</v>
      </c>
      <c r="H226" s="40">
        <f t="shared" ref="H226:I231" si="92">H227</f>
        <v>0</v>
      </c>
      <c r="I226" s="40">
        <f t="shared" si="92"/>
        <v>0</v>
      </c>
      <c r="J226" s="1"/>
    </row>
    <row r="227" spans="1:10" ht="31.5" outlineLevel="1">
      <c r="A227" s="18" t="s">
        <v>140</v>
      </c>
      <c r="B227" s="19" t="s">
        <v>150</v>
      </c>
      <c r="C227" s="20" t="s">
        <v>20</v>
      </c>
      <c r="D227" s="20" t="s">
        <v>352</v>
      </c>
      <c r="E227" s="20" t="s">
        <v>141</v>
      </c>
      <c r="F227" s="20" t="s">
        <v>4</v>
      </c>
      <c r="G227" s="40">
        <f>G228</f>
        <v>33368.5</v>
      </c>
      <c r="H227" s="40">
        <f t="shared" si="92"/>
        <v>0</v>
      </c>
      <c r="I227" s="40">
        <f t="shared" si="92"/>
        <v>0</v>
      </c>
      <c r="J227" s="1"/>
    </row>
    <row r="228" spans="1:10" ht="15.75" outlineLevel="1">
      <c r="A228" s="18" t="s">
        <v>142</v>
      </c>
      <c r="B228" s="19" t="s">
        <v>150</v>
      </c>
      <c r="C228" s="20" t="s">
        <v>20</v>
      </c>
      <c r="D228" s="20" t="s">
        <v>352</v>
      </c>
      <c r="E228" s="20" t="s">
        <v>143</v>
      </c>
      <c r="F228" s="20" t="s">
        <v>4</v>
      </c>
      <c r="G228" s="40">
        <f>G231+G233+G229</f>
        <v>33368.5</v>
      </c>
      <c r="H228" s="40">
        <f>H231</f>
        <v>0</v>
      </c>
      <c r="I228" s="40">
        <f>I231</f>
        <v>0</v>
      </c>
      <c r="J228" s="1"/>
    </row>
    <row r="229" spans="1:10" ht="120" customHeight="1" outlineLevel="1">
      <c r="A229" s="25" t="s">
        <v>731</v>
      </c>
      <c r="B229" s="22" t="s">
        <v>150</v>
      </c>
      <c r="C229" s="20" t="s">
        <v>20</v>
      </c>
      <c r="D229" s="20" t="s">
        <v>352</v>
      </c>
      <c r="E229" s="19" t="s">
        <v>732</v>
      </c>
      <c r="F229" s="20" t="s">
        <v>4</v>
      </c>
      <c r="G229" s="40">
        <f>G230</f>
        <v>1.4999999999999999E-2</v>
      </c>
      <c r="H229" s="40">
        <f t="shared" ref="H229:I229" si="93">H230</f>
        <v>0</v>
      </c>
      <c r="I229" s="40">
        <f t="shared" si="93"/>
        <v>0</v>
      </c>
      <c r="J229" s="1"/>
    </row>
    <row r="230" spans="1:10" ht="63" outlineLevel="1">
      <c r="A230" s="18" t="s">
        <v>27</v>
      </c>
      <c r="B230" s="19" t="s">
        <v>150</v>
      </c>
      <c r="C230" s="20" t="s">
        <v>20</v>
      </c>
      <c r="D230" s="20" t="s">
        <v>352</v>
      </c>
      <c r="E230" s="19" t="s">
        <v>732</v>
      </c>
      <c r="F230" s="20" t="s">
        <v>28</v>
      </c>
      <c r="G230" s="40">
        <v>1.4999999999999999E-2</v>
      </c>
      <c r="H230" s="40">
        <v>0</v>
      </c>
      <c r="I230" s="40">
        <v>0</v>
      </c>
      <c r="J230" s="1"/>
    </row>
    <row r="231" spans="1:10" ht="49.5" customHeight="1" outlineLevel="1">
      <c r="A231" s="30" t="s">
        <v>686</v>
      </c>
      <c r="B231" s="22" t="s">
        <v>150</v>
      </c>
      <c r="C231" s="20" t="s">
        <v>20</v>
      </c>
      <c r="D231" s="20" t="s">
        <v>352</v>
      </c>
      <c r="E231" s="20" t="s">
        <v>685</v>
      </c>
      <c r="F231" s="20" t="s">
        <v>4</v>
      </c>
      <c r="G231" s="40">
        <f>G232</f>
        <v>31700</v>
      </c>
      <c r="H231" s="40">
        <f t="shared" si="92"/>
        <v>0</v>
      </c>
      <c r="I231" s="40">
        <f t="shared" si="92"/>
        <v>0</v>
      </c>
      <c r="J231" s="1"/>
    </row>
    <row r="232" spans="1:10" ht="63" outlineLevel="1">
      <c r="A232" s="18" t="s">
        <v>27</v>
      </c>
      <c r="B232" s="19" t="s">
        <v>150</v>
      </c>
      <c r="C232" s="20" t="s">
        <v>20</v>
      </c>
      <c r="D232" s="20" t="s">
        <v>352</v>
      </c>
      <c r="E232" s="20" t="s">
        <v>685</v>
      </c>
      <c r="F232" s="20" t="s">
        <v>28</v>
      </c>
      <c r="G232" s="40">
        <v>31700</v>
      </c>
      <c r="H232" s="40">
        <v>0</v>
      </c>
      <c r="I232" s="40">
        <v>0</v>
      </c>
      <c r="J232" s="1"/>
    </row>
    <row r="233" spans="1:10" ht="48.75" customHeight="1" outlineLevel="1">
      <c r="A233" s="30" t="s">
        <v>686</v>
      </c>
      <c r="B233" s="22" t="s">
        <v>150</v>
      </c>
      <c r="C233" s="20" t="s">
        <v>20</v>
      </c>
      <c r="D233" s="20" t="s">
        <v>352</v>
      </c>
      <c r="E233" s="20" t="s">
        <v>691</v>
      </c>
      <c r="F233" s="20" t="s">
        <v>4</v>
      </c>
      <c r="G233" s="40">
        <f>G234</f>
        <v>1668.4849999999999</v>
      </c>
      <c r="H233" s="40">
        <f t="shared" ref="H233:I233" si="94">H234</f>
        <v>0</v>
      </c>
      <c r="I233" s="40">
        <f t="shared" si="94"/>
        <v>0</v>
      </c>
      <c r="J233" s="1"/>
    </row>
    <row r="234" spans="1:10" ht="63" outlineLevel="1">
      <c r="A234" s="18" t="s">
        <v>27</v>
      </c>
      <c r="B234" s="19" t="s">
        <v>150</v>
      </c>
      <c r="C234" s="20" t="s">
        <v>20</v>
      </c>
      <c r="D234" s="20" t="s">
        <v>352</v>
      </c>
      <c r="E234" s="20" t="s">
        <v>691</v>
      </c>
      <c r="F234" s="20" t="s">
        <v>28</v>
      </c>
      <c r="G234" s="40">
        <f>4737-3068.5-0.015</f>
        <v>1668.4849999999999</v>
      </c>
      <c r="H234" s="40">
        <v>0</v>
      </c>
      <c r="I234" s="40">
        <v>0</v>
      </c>
      <c r="J234" s="1"/>
    </row>
    <row r="235" spans="1:10" ht="31.5" outlineLevel="2">
      <c r="A235" s="15" t="s">
        <v>175</v>
      </c>
      <c r="B235" s="16" t="s">
        <v>150</v>
      </c>
      <c r="C235" s="17" t="s">
        <v>20</v>
      </c>
      <c r="D235" s="17" t="s">
        <v>176</v>
      </c>
      <c r="E235" s="17" t="s">
        <v>3</v>
      </c>
      <c r="F235" s="17" t="s">
        <v>4</v>
      </c>
      <c r="G235" s="39">
        <f>G236</f>
        <v>215562.10000000003</v>
      </c>
      <c r="H235" s="39">
        <f t="shared" ref="H235:I235" si="95">H236</f>
        <v>71642.2</v>
      </c>
      <c r="I235" s="39">
        <f t="shared" si="95"/>
        <v>97260</v>
      </c>
      <c r="J235" s="1"/>
    </row>
    <row r="236" spans="1:10" ht="63" outlineLevel="3">
      <c r="A236" s="18" t="s">
        <v>132</v>
      </c>
      <c r="B236" s="19" t="s">
        <v>150</v>
      </c>
      <c r="C236" s="20" t="s">
        <v>20</v>
      </c>
      <c r="D236" s="20" t="s">
        <v>176</v>
      </c>
      <c r="E236" s="20" t="s">
        <v>133</v>
      </c>
      <c r="F236" s="20" t="s">
        <v>4</v>
      </c>
      <c r="G236" s="40">
        <f>G237+G248</f>
        <v>215562.10000000003</v>
      </c>
      <c r="H236" s="40">
        <f t="shared" ref="H236:I236" si="96">H237+H248</f>
        <v>71642.2</v>
      </c>
      <c r="I236" s="40">
        <f t="shared" si="96"/>
        <v>97260</v>
      </c>
      <c r="J236" s="1"/>
    </row>
    <row r="237" spans="1:10" ht="47.25" outlineLevel="4">
      <c r="A237" s="18" t="s">
        <v>94</v>
      </c>
      <c r="B237" s="19" t="s">
        <v>150</v>
      </c>
      <c r="C237" s="20" t="s">
        <v>20</v>
      </c>
      <c r="D237" s="20" t="s">
        <v>176</v>
      </c>
      <c r="E237" s="20" t="s">
        <v>177</v>
      </c>
      <c r="F237" s="20" t="s">
        <v>4</v>
      </c>
      <c r="G237" s="40">
        <f>G238+G243</f>
        <v>3196</v>
      </c>
      <c r="H237" s="40">
        <f t="shared" ref="H237:I237" si="97">H238+H243</f>
        <v>0</v>
      </c>
      <c r="I237" s="40">
        <f t="shared" si="97"/>
        <v>0</v>
      </c>
      <c r="J237" s="1"/>
    </row>
    <row r="238" spans="1:10" ht="63" hidden="1" outlineLevel="5">
      <c r="A238" s="18" t="s">
        <v>178</v>
      </c>
      <c r="B238" s="19" t="s">
        <v>150</v>
      </c>
      <c r="C238" s="20" t="s">
        <v>20</v>
      </c>
      <c r="D238" s="20" t="s">
        <v>176</v>
      </c>
      <c r="E238" s="20" t="s">
        <v>179</v>
      </c>
      <c r="F238" s="20" t="s">
        <v>4</v>
      </c>
      <c r="G238" s="40">
        <f>G239+G241</f>
        <v>0</v>
      </c>
      <c r="H238" s="40">
        <f t="shared" ref="H238:I238" si="98">H239+H241</f>
        <v>0</v>
      </c>
      <c r="I238" s="40">
        <f t="shared" si="98"/>
        <v>0</v>
      </c>
      <c r="J238" s="1"/>
    </row>
    <row r="239" spans="1:10" ht="63" hidden="1" outlineLevel="6">
      <c r="A239" s="18" t="s">
        <v>180</v>
      </c>
      <c r="B239" s="19" t="s">
        <v>150</v>
      </c>
      <c r="C239" s="20" t="s">
        <v>20</v>
      </c>
      <c r="D239" s="20" t="s">
        <v>176</v>
      </c>
      <c r="E239" s="20" t="s">
        <v>181</v>
      </c>
      <c r="F239" s="20" t="s">
        <v>4</v>
      </c>
      <c r="G239" s="40">
        <f>G240</f>
        <v>0</v>
      </c>
      <c r="H239" s="40">
        <f t="shared" ref="H239:I239" si="99">H240</f>
        <v>0</v>
      </c>
      <c r="I239" s="40">
        <f t="shared" si="99"/>
        <v>0</v>
      </c>
      <c r="J239" s="1"/>
    </row>
    <row r="240" spans="1:10" ht="64.5" hidden="1" customHeight="1" outlineLevel="7">
      <c r="A240" s="18" t="s">
        <v>103</v>
      </c>
      <c r="B240" s="19" t="s">
        <v>150</v>
      </c>
      <c r="C240" s="20" t="s">
        <v>20</v>
      </c>
      <c r="D240" s="20" t="s">
        <v>176</v>
      </c>
      <c r="E240" s="20" t="s">
        <v>181</v>
      </c>
      <c r="F240" s="20" t="s">
        <v>104</v>
      </c>
      <c r="G240" s="40">
        <f>15497+50679+62130-128306</f>
        <v>0</v>
      </c>
      <c r="H240" s="40">
        <f>23792-23792</f>
        <v>0</v>
      </c>
      <c r="I240" s="40">
        <f>23856-23856</f>
        <v>0</v>
      </c>
      <c r="J240" s="1"/>
    </row>
    <row r="241" spans="1:10" ht="63" hidden="1" outlineLevel="6">
      <c r="A241" s="18" t="s">
        <v>180</v>
      </c>
      <c r="B241" s="19" t="s">
        <v>150</v>
      </c>
      <c r="C241" s="20" t="s">
        <v>20</v>
      </c>
      <c r="D241" s="20" t="s">
        <v>176</v>
      </c>
      <c r="E241" s="20" t="s">
        <v>182</v>
      </c>
      <c r="F241" s="20" t="s">
        <v>4</v>
      </c>
      <c r="G241" s="40">
        <f>G242</f>
        <v>0</v>
      </c>
      <c r="H241" s="40">
        <f t="shared" ref="H241:I241" si="100">H242</f>
        <v>0</v>
      </c>
      <c r="I241" s="40">
        <f t="shared" si="100"/>
        <v>0</v>
      </c>
      <c r="J241" s="1"/>
    </row>
    <row r="242" spans="1:10" ht="67.5" hidden="1" customHeight="1" outlineLevel="7">
      <c r="A242" s="18" t="s">
        <v>103</v>
      </c>
      <c r="B242" s="19" t="s">
        <v>150</v>
      </c>
      <c r="C242" s="20" t="s">
        <v>20</v>
      </c>
      <c r="D242" s="20" t="s">
        <v>176</v>
      </c>
      <c r="E242" s="20" t="s">
        <v>182</v>
      </c>
      <c r="F242" s="20" t="s">
        <v>104</v>
      </c>
      <c r="G242" s="40">
        <f>2315.7+7572.7-9888.4</f>
        <v>0</v>
      </c>
      <c r="H242" s="40">
        <f>3555.2-3555.2</f>
        <v>0</v>
      </c>
      <c r="I242" s="40">
        <f>3564.7-3564.7</f>
        <v>0</v>
      </c>
      <c r="J242" s="1"/>
    </row>
    <row r="243" spans="1:10" ht="47.25" outlineLevel="5" collapsed="1">
      <c r="A243" s="18" t="s">
        <v>183</v>
      </c>
      <c r="B243" s="19" t="s">
        <v>150</v>
      </c>
      <c r="C243" s="20" t="s">
        <v>20</v>
      </c>
      <c r="D243" s="20" t="s">
        <v>176</v>
      </c>
      <c r="E243" s="20" t="s">
        <v>184</v>
      </c>
      <c r="F243" s="20" t="s">
        <v>4</v>
      </c>
      <c r="G243" s="40">
        <f>G244+G246</f>
        <v>3196</v>
      </c>
      <c r="H243" s="40">
        <f t="shared" ref="H243:I243" si="101">H244+H246</f>
        <v>0</v>
      </c>
      <c r="I243" s="40">
        <f t="shared" si="101"/>
        <v>0</v>
      </c>
      <c r="J243" s="1"/>
    </row>
    <row r="244" spans="1:10" ht="126" outlineLevel="6">
      <c r="A244" s="18" t="s">
        <v>185</v>
      </c>
      <c r="B244" s="19" t="s">
        <v>150</v>
      </c>
      <c r="C244" s="20" t="s">
        <v>20</v>
      </c>
      <c r="D244" s="20" t="s">
        <v>176</v>
      </c>
      <c r="E244" s="20" t="s">
        <v>186</v>
      </c>
      <c r="F244" s="20" t="s">
        <v>4</v>
      </c>
      <c r="G244" s="40">
        <f>G245</f>
        <v>2670</v>
      </c>
      <c r="H244" s="40">
        <f t="shared" ref="H244:I244" si="102">H245</f>
        <v>0</v>
      </c>
      <c r="I244" s="40">
        <f t="shared" si="102"/>
        <v>0</v>
      </c>
      <c r="J244" s="1"/>
    </row>
    <row r="245" spans="1:10" ht="47.25" outlineLevel="7">
      <c r="A245" s="18" t="s">
        <v>187</v>
      </c>
      <c r="B245" s="19" t="s">
        <v>150</v>
      </c>
      <c r="C245" s="20" t="s">
        <v>20</v>
      </c>
      <c r="D245" s="20" t="s">
        <v>176</v>
      </c>
      <c r="E245" s="20" t="s">
        <v>186</v>
      </c>
      <c r="F245" s="20" t="s">
        <v>188</v>
      </c>
      <c r="G245" s="40">
        <f>2600+70</f>
        <v>2670</v>
      </c>
      <c r="H245" s="40">
        <v>0</v>
      </c>
      <c r="I245" s="40">
        <v>0</v>
      </c>
      <c r="J245" s="1"/>
    </row>
    <row r="246" spans="1:10" ht="126" outlineLevel="6">
      <c r="A246" s="18" t="s">
        <v>185</v>
      </c>
      <c r="B246" s="19" t="s">
        <v>150</v>
      </c>
      <c r="C246" s="20" t="s">
        <v>20</v>
      </c>
      <c r="D246" s="20" t="s">
        <v>176</v>
      </c>
      <c r="E246" s="20" t="s">
        <v>189</v>
      </c>
      <c r="F246" s="20" t="s">
        <v>4</v>
      </c>
      <c r="G246" s="40">
        <f>G247</f>
        <v>526</v>
      </c>
      <c r="H246" s="40">
        <f t="shared" ref="H246:I246" si="103">H247</f>
        <v>0</v>
      </c>
      <c r="I246" s="40">
        <f t="shared" si="103"/>
        <v>0</v>
      </c>
      <c r="J246" s="1"/>
    </row>
    <row r="247" spans="1:10" ht="47.25" outlineLevel="7">
      <c r="A247" s="18" t="s">
        <v>187</v>
      </c>
      <c r="B247" s="19" t="s">
        <v>150</v>
      </c>
      <c r="C247" s="20" t="s">
        <v>20</v>
      </c>
      <c r="D247" s="20" t="s">
        <v>176</v>
      </c>
      <c r="E247" s="20" t="s">
        <v>189</v>
      </c>
      <c r="F247" s="20" t="s">
        <v>188</v>
      </c>
      <c r="G247" s="40">
        <f>500+20+6</f>
        <v>526</v>
      </c>
      <c r="H247" s="40">
        <v>0</v>
      </c>
      <c r="I247" s="40">
        <v>0</v>
      </c>
      <c r="J247" s="1"/>
    </row>
    <row r="248" spans="1:10" ht="31.5" outlineLevel="4">
      <c r="A248" s="18" t="s">
        <v>11</v>
      </c>
      <c r="B248" s="19" t="s">
        <v>150</v>
      </c>
      <c r="C248" s="20" t="s">
        <v>20</v>
      </c>
      <c r="D248" s="20" t="s">
        <v>176</v>
      </c>
      <c r="E248" s="20" t="s">
        <v>134</v>
      </c>
      <c r="F248" s="20" t="s">
        <v>4</v>
      </c>
      <c r="G248" s="40">
        <f>G249</f>
        <v>212366.10000000003</v>
      </c>
      <c r="H248" s="40">
        <f t="shared" ref="H248:I248" si="104">H249</f>
        <v>71642.2</v>
      </c>
      <c r="I248" s="40">
        <f t="shared" si="104"/>
        <v>97260</v>
      </c>
      <c r="J248" s="1"/>
    </row>
    <row r="249" spans="1:10" ht="63" outlineLevel="5">
      <c r="A249" s="18" t="s">
        <v>152</v>
      </c>
      <c r="B249" s="19" t="s">
        <v>150</v>
      </c>
      <c r="C249" s="20" t="s">
        <v>20</v>
      </c>
      <c r="D249" s="20" t="s">
        <v>176</v>
      </c>
      <c r="E249" s="20" t="s">
        <v>153</v>
      </c>
      <c r="F249" s="20" t="s">
        <v>4</v>
      </c>
      <c r="G249" s="40">
        <f>G250+G252+G254+G256</f>
        <v>212366.10000000003</v>
      </c>
      <c r="H249" s="40">
        <f t="shared" ref="H249" si="105">H250+H252</f>
        <v>71642.2</v>
      </c>
      <c r="I249" s="40">
        <f>I250+I252+I254+I256</f>
        <v>97260</v>
      </c>
      <c r="J249" s="1"/>
    </row>
    <row r="250" spans="1:10" ht="63" outlineLevel="6">
      <c r="A250" s="18" t="s">
        <v>190</v>
      </c>
      <c r="B250" s="19" t="s">
        <v>150</v>
      </c>
      <c r="C250" s="20" t="s">
        <v>20</v>
      </c>
      <c r="D250" s="20" t="s">
        <v>176</v>
      </c>
      <c r="E250" s="20" t="s">
        <v>191</v>
      </c>
      <c r="F250" s="20" t="s">
        <v>4</v>
      </c>
      <c r="G250" s="40">
        <f>G251</f>
        <v>63587.900000000009</v>
      </c>
      <c r="H250" s="40">
        <f t="shared" ref="H250:I250" si="106">H251</f>
        <v>71642.2</v>
      </c>
      <c r="I250" s="40">
        <f t="shared" si="106"/>
        <v>69839.3</v>
      </c>
      <c r="J250" s="1"/>
    </row>
    <row r="251" spans="1:10" ht="62.25" customHeight="1" outlineLevel="7">
      <c r="A251" s="18" t="s">
        <v>103</v>
      </c>
      <c r="B251" s="19" t="s">
        <v>150</v>
      </c>
      <c r="C251" s="20" t="s">
        <v>20</v>
      </c>
      <c r="D251" s="20" t="s">
        <v>176</v>
      </c>
      <c r="E251" s="20" t="s">
        <v>191</v>
      </c>
      <c r="F251" s="20" t="s">
        <v>104</v>
      </c>
      <c r="G251" s="40">
        <f>61780.8-7572.7+7572.7+636.8-7583.8+9283.8+170.3-700</f>
        <v>63587.900000000009</v>
      </c>
      <c r="H251" s="40">
        <f>68087+3555.2</f>
        <v>71642.2</v>
      </c>
      <c r="I251" s="40">
        <v>69839.3</v>
      </c>
      <c r="J251" s="1"/>
    </row>
    <row r="252" spans="1:10" ht="47.25" outlineLevel="6">
      <c r="A252" s="18" t="s">
        <v>192</v>
      </c>
      <c r="B252" s="19" t="s">
        <v>150</v>
      </c>
      <c r="C252" s="20" t="s">
        <v>20</v>
      </c>
      <c r="D252" s="20" t="s">
        <v>176</v>
      </c>
      <c r="E252" s="20" t="s">
        <v>193</v>
      </c>
      <c r="F252" s="20" t="s">
        <v>4</v>
      </c>
      <c r="G252" s="40">
        <f>G253</f>
        <v>1300</v>
      </c>
      <c r="H252" s="40">
        <f t="shared" ref="H252:I252" si="107">H253</f>
        <v>0</v>
      </c>
      <c r="I252" s="40">
        <f t="shared" si="107"/>
        <v>0</v>
      </c>
      <c r="J252" s="1"/>
    </row>
    <row r="253" spans="1:10" ht="63" outlineLevel="7">
      <c r="A253" s="18" t="s">
        <v>27</v>
      </c>
      <c r="B253" s="19" t="s">
        <v>150</v>
      </c>
      <c r="C253" s="20" t="s">
        <v>20</v>
      </c>
      <c r="D253" s="20" t="s">
        <v>176</v>
      </c>
      <c r="E253" s="20" t="s">
        <v>193</v>
      </c>
      <c r="F253" s="20" t="s">
        <v>28</v>
      </c>
      <c r="G253" s="40">
        <f>3000-1700</f>
        <v>1300</v>
      </c>
      <c r="H253" s="40">
        <v>0</v>
      </c>
      <c r="I253" s="40">
        <v>0</v>
      </c>
      <c r="J253" s="1"/>
    </row>
    <row r="254" spans="1:10" ht="63" outlineLevel="7">
      <c r="A254" s="18" t="s">
        <v>180</v>
      </c>
      <c r="B254" s="19" t="s">
        <v>150</v>
      </c>
      <c r="C254" s="20" t="s">
        <v>20</v>
      </c>
      <c r="D254" s="20" t="s">
        <v>176</v>
      </c>
      <c r="E254" s="20" t="s">
        <v>717</v>
      </c>
      <c r="F254" s="20" t="s">
        <v>4</v>
      </c>
      <c r="G254" s="40">
        <f>G255</f>
        <v>128306</v>
      </c>
      <c r="H254" s="40">
        <f t="shared" ref="H254:I254" si="108">H255</f>
        <v>0</v>
      </c>
      <c r="I254" s="40">
        <f t="shared" si="108"/>
        <v>23856</v>
      </c>
      <c r="J254" s="1"/>
    </row>
    <row r="255" spans="1:10" ht="64.5" customHeight="1" outlineLevel="7">
      <c r="A255" s="18" t="s">
        <v>103</v>
      </c>
      <c r="B255" s="19" t="s">
        <v>150</v>
      </c>
      <c r="C255" s="20" t="s">
        <v>20</v>
      </c>
      <c r="D255" s="20" t="s">
        <v>176</v>
      </c>
      <c r="E255" s="20" t="s">
        <v>717</v>
      </c>
      <c r="F255" s="20" t="s">
        <v>104</v>
      </c>
      <c r="G255" s="40">
        <v>128306</v>
      </c>
      <c r="H255" s="40">
        <v>0</v>
      </c>
      <c r="I255" s="40">
        <v>23856</v>
      </c>
      <c r="J255" s="1"/>
    </row>
    <row r="256" spans="1:10" ht="63" outlineLevel="7">
      <c r="A256" s="18" t="s">
        <v>180</v>
      </c>
      <c r="B256" s="19" t="s">
        <v>150</v>
      </c>
      <c r="C256" s="20" t="s">
        <v>20</v>
      </c>
      <c r="D256" s="20" t="s">
        <v>176</v>
      </c>
      <c r="E256" s="20" t="s">
        <v>718</v>
      </c>
      <c r="F256" s="20" t="s">
        <v>4</v>
      </c>
      <c r="G256" s="40">
        <f>G257</f>
        <v>19172.2</v>
      </c>
      <c r="H256" s="40">
        <f t="shared" ref="H256:I256" si="109">H257</f>
        <v>0</v>
      </c>
      <c r="I256" s="40">
        <f t="shared" si="109"/>
        <v>3564.7</v>
      </c>
      <c r="J256" s="1"/>
    </row>
    <row r="257" spans="1:10" ht="62.25" customHeight="1" outlineLevel="7">
      <c r="A257" s="18" t="s">
        <v>103</v>
      </c>
      <c r="B257" s="19" t="s">
        <v>150</v>
      </c>
      <c r="C257" s="20" t="s">
        <v>20</v>
      </c>
      <c r="D257" s="20" t="s">
        <v>176</v>
      </c>
      <c r="E257" s="20" t="s">
        <v>718</v>
      </c>
      <c r="F257" s="20" t="s">
        <v>104</v>
      </c>
      <c r="G257" s="40">
        <v>19172.2</v>
      </c>
      <c r="H257" s="40">
        <v>0</v>
      </c>
      <c r="I257" s="40">
        <v>3564.7</v>
      </c>
      <c r="J257" s="1"/>
    </row>
    <row r="258" spans="1:10" ht="31.5" outlineLevel="2">
      <c r="A258" s="15" t="s">
        <v>92</v>
      </c>
      <c r="B258" s="16" t="s">
        <v>150</v>
      </c>
      <c r="C258" s="17" t="s">
        <v>20</v>
      </c>
      <c r="D258" s="17" t="s">
        <v>93</v>
      </c>
      <c r="E258" s="17" t="s">
        <v>3</v>
      </c>
      <c r="F258" s="17" t="s">
        <v>4</v>
      </c>
      <c r="G258" s="39">
        <f>G259</f>
        <v>34.999999999999993</v>
      </c>
      <c r="H258" s="39">
        <f t="shared" ref="H258:I261" si="110">H259</f>
        <v>76</v>
      </c>
      <c r="I258" s="39">
        <f t="shared" si="110"/>
        <v>76</v>
      </c>
      <c r="J258" s="1"/>
    </row>
    <row r="259" spans="1:10" ht="63" outlineLevel="3">
      <c r="A259" s="18" t="s">
        <v>132</v>
      </c>
      <c r="B259" s="19" t="s">
        <v>150</v>
      </c>
      <c r="C259" s="20" t="s">
        <v>20</v>
      </c>
      <c r="D259" s="20" t="s">
        <v>93</v>
      </c>
      <c r="E259" s="20" t="s">
        <v>133</v>
      </c>
      <c r="F259" s="20" t="s">
        <v>4</v>
      </c>
      <c r="G259" s="40">
        <f>G260</f>
        <v>34.999999999999993</v>
      </c>
      <c r="H259" s="40">
        <f t="shared" si="110"/>
        <v>76</v>
      </c>
      <c r="I259" s="40">
        <f t="shared" si="110"/>
        <v>76</v>
      </c>
      <c r="J259" s="1"/>
    </row>
    <row r="260" spans="1:10" ht="31.5" outlineLevel="4">
      <c r="A260" s="18" t="s">
        <v>11</v>
      </c>
      <c r="B260" s="19" t="s">
        <v>150</v>
      </c>
      <c r="C260" s="20" t="s">
        <v>20</v>
      </c>
      <c r="D260" s="20" t="s">
        <v>93</v>
      </c>
      <c r="E260" s="20" t="s">
        <v>134</v>
      </c>
      <c r="F260" s="20" t="s">
        <v>4</v>
      </c>
      <c r="G260" s="40">
        <f>G261</f>
        <v>34.999999999999993</v>
      </c>
      <c r="H260" s="40">
        <f t="shared" si="110"/>
        <v>76</v>
      </c>
      <c r="I260" s="40">
        <f t="shared" si="110"/>
        <v>76</v>
      </c>
      <c r="J260" s="1"/>
    </row>
    <row r="261" spans="1:10" ht="63" outlineLevel="5">
      <c r="A261" s="18" t="s">
        <v>194</v>
      </c>
      <c r="B261" s="19" t="s">
        <v>150</v>
      </c>
      <c r="C261" s="20" t="s">
        <v>20</v>
      </c>
      <c r="D261" s="20" t="s">
        <v>93</v>
      </c>
      <c r="E261" s="20" t="s">
        <v>195</v>
      </c>
      <c r="F261" s="20" t="s">
        <v>4</v>
      </c>
      <c r="G261" s="40">
        <f>G262</f>
        <v>34.999999999999993</v>
      </c>
      <c r="H261" s="40">
        <f t="shared" si="110"/>
        <v>76</v>
      </c>
      <c r="I261" s="40">
        <f t="shared" si="110"/>
        <v>76</v>
      </c>
      <c r="J261" s="1"/>
    </row>
    <row r="262" spans="1:10" ht="47.25" outlineLevel="6">
      <c r="A262" s="18" t="s">
        <v>196</v>
      </c>
      <c r="B262" s="19" t="s">
        <v>150</v>
      </c>
      <c r="C262" s="20" t="s">
        <v>20</v>
      </c>
      <c r="D262" s="20" t="s">
        <v>93</v>
      </c>
      <c r="E262" s="20" t="s">
        <v>197</v>
      </c>
      <c r="F262" s="20" t="s">
        <v>4</v>
      </c>
      <c r="G262" s="40">
        <f>G263</f>
        <v>34.999999999999993</v>
      </c>
      <c r="H262" s="40">
        <f t="shared" ref="H262:I262" si="111">H263</f>
        <v>76</v>
      </c>
      <c r="I262" s="40">
        <f t="shared" si="111"/>
        <v>76</v>
      </c>
      <c r="J262" s="1"/>
    </row>
    <row r="263" spans="1:10" ht="63" outlineLevel="7">
      <c r="A263" s="18" t="s">
        <v>27</v>
      </c>
      <c r="B263" s="19" t="s">
        <v>150</v>
      </c>
      <c r="C263" s="20" t="s">
        <v>20</v>
      </c>
      <c r="D263" s="20" t="s">
        <v>93</v>
      </c>
      <c r="E263" s="20" t="s">
        <v>197</v>
      </c>
      <c r="F263" s="20" t="s">
        <v>28</v>
      </c>
      <c r="G263" s="40">
        <f>76-2.947-4.9-33.153</f>
        <v>34.999999999999993</v>
      </c>
      <c r="H263" s="40">
        <v>76</v>
      </c>
      <c r="I263" s="40">
        <v>76</v>
      </c>
      <c r="J263" s="1"/>
    </row>
    <row r="264" spans="1:10" ht="31.5" outlineLevel="1">
      <c r="A264" s="12" t="s">
        <v>198</v>
      </c>
      <c r="B264" s="13" t="s">
        <v>150</v>
      </c>
      <c r="C264" s="14" t="s">
        <v>45</v>
      </c>
      <c r="D264" s="14" t="s">
        <v>2</v>
      </c>
      <c r="E264" s="14" t="s">
        <v>3</v>
      </c>
      <c r="F264" s="14" t="s">
        <v>4</v>
      </c>
      <c r="G264" s="38">
        <f>G265+G300+G338</f>
        <v>536091.38</v>
      </c>
      <c r="H264" s="38">
        <f t="shared" ref="H264:I264" si="112">H265+H300+H338</f>
        <v>259770.1</v>
      </c>
      <c r="I264" s="38">
        <f t="shared" si="112"/>
        <v>223482.3</v>
      </c>
      <c r="J264" s="1"/>
    </row>
    <row r="265" spans="1:10" ht="15.75" outlineLevel="2">
      <c r="A265" s="15" t="s">
        <v>199</v>
      </c>
      <c r="B265" s="16" t="s">
        <v>150</v>
      </c>
      <c r="C265" s="17" t="s">
        <v>45</v>
      </c>
      <c r="D265" s="17" t="s">
        <v>8</v>
      </c>
      <c r="E265" s="17" t="s">
        <v>3</v>
      </c>
      <c r="F265" s="17" t="s">
        <v>4</v>
      </c>
      <c r="G265" s="39">
        <f>G266</f>
        <v>175442.03410000002</v>
      </c>
      <c r="H265" s="39">
        <f t="shared" ref="H265:I265" si="113">H266</f>
        <v>122357.28120000001</v>
      </c>
      <c r="I265" s="39">
        <f t="shared" si="113"/>
        <v>89198.8</v>
      </c>
      <c r="J265" s="1"/>
    </row>
    <row r="266" spans="1:10" ht="63" outlineLevel="3">
      <c r="A266" s="18" t="s">
        <v>132</v>
      </c>
      <c r="B266" s="19" t="s">
        <v>150</v>
      </c>
      <c r="C266" s="20" t="s">
        <v>45</v>
      </c>
      <c r="D266" s="20" t="s">
        <v>8</v>
      </c>
      <c r="E266" s="20" t="s">
        <v>133</v>
      </c>
      <c r="F266" s="20" t="s">
        <v>4</v>
      </c>
      <c r="G266" s="40">
        <f>G267+G271+G296</f>
        <v>175442.03410000002</v>
      </c>
      <c r="H266" s="40">
        <f>H267+H271+H296</f>
        <v>122357.28120000001</v>
      </c>
      <c r="I266" s="40">
        <f t="shared" ref="I266" si="114">I267+I271</f>
        <v>89198.8</v>
      </c>
      <c r="J266" s="1"/>
    </row>
    <row r="267" spans="1:10" ht="78.75" outlineLevel="4">
      <c r="A267" s="18" t="s">
        <v>200</v>
      </c>
      <c r="B267" s="19" t="s">
        <v>150</v>
      </c>
      <c r="C267" s="20" t="s">
        <v>45</v>
      </c>
      <c r="D267" s="20" t="s">
        <v>8</v>
      </c>
      <c r="E267" s="20" t="s">
        <v>201</v>
      </c>
      <c r="F267" s="20" t="s">
        <v>4</v>
      </c>
      <c r="G267" s="40">
        <f>G268</f>
        <v>4.5474735088646412E-12</v>
      </c>
      <c r="H267" s="40">
        <f t="shared" ref="H267:I268" si="115">H268</f>
        <v>86664.639999999999</v>
      </c>
      <c r="I267" s="40">
        <f t="shared" si="115"/>
        <v>0</v>
      </c>
      <c r="J267" s="1"/>
    </row>
    <row r="268" spans="1:10" ht="31.5" outlineLevel="5">
      <c r="A268" s="18" t="s">
        <v>202</v>
      </c>
      <c r="B268" s="19" t="s">
        <v>150</v>
      </c>
      <c r="C268" s="20" t="s">
        <v>45</v>
      </c>
      <c r="D268" s="20" t="s">
        <v>8</v>
      </c>
      <c r="E268" s="20" t="s">
        <v>203</v>
      </c>
      <c r="F268" s="20" t="s">
        <v>4</v>
      </c>
      <c r="G268" s="40">
        <f>G269</f>
        <v>4.5474735088646412E-12</v>
      </c>
      <c r="H268" s="40">
        <f t="shared" si="115"/>
        <v>86664.639999999999</v>
      </c>
      <c r="I268" s="40">
        <f t="shared" si="115"/>
        <v>0</v>
      </c>
      <c r="J268" s="1"/>
    </row>
    <row r="269" spans="1:10" ht="47.25" outlineLevel="6">
      <c r="A269" s="18" t="s">
        <v>204</v>
      </c>
      <c r="B269" s="19" t="s">
        <v>150</v>
      </c>
      <c r="C269" s="20" t="s">
        <v>45</v>
      </c>
      <c r="D269" s="20" t="s">
        <v>8</v>
      </c>
      <c r="E269" s="20" t="s">
        <v>205</v>
      </c>
      <c r="F269" s="20" t="s">
        <v>4</v>
      </c>
      <c r="G269" s="40">
        <f>G270</f>
        <v>4.5474735088646412E-12</v>
      </c>
      <c r="H269" s="40">
        <f t="shared" ref="H269:I269" si="116">H270</f>
        <v>86664.639999999999</v>
      </c>
      <c r="I269" s="40">
        <f t="shared" si="116"/>
        <v>0</v>
      </c>
      <c r="J269" s="1"/>
    </row>
    <row r="270" spans="1:10" ht="47.25" outlineLevel="7">
      <c r="A270" s="18" t="s">
        <v>187</v>
      </c>
      <c r="B270" s="19" t="s">
        <v>150</v>
      </c>
      <c r="C270" s="20" t="s">
        <v>45</v>
      </c>
      <c r="D270" s="20" t="s">
        <v>8</v>
      </c>
      <c r="E270" s="20" t="s">
        <v>205</v>
      </c>
      <c r="F270" s="20" t="s">
        <v>188</v>
      </c>
      <c r="G270" s="40">
        <f>54306.8-0.053-51519.6-2787.147</f>
        <v>4.5474735088646412E-12</v>
      </c>
      <c r="H270" s="40">
        <f>29592.3+54520.5+2551.84</f>
        <v>86664.639999999999</v>
      </c>
      <c r="I270" s="40">
        <v>0</v>
      </c>
      <c r="J270" s="1"/>
    </row>
    <row r="271" spans="1:10" ht="47.25" outlineLevel="4">
      <c r="A271" s="18" t="s">
        <v>94</v>
      </c>
      <c r="B271" s="19" t="s">
        <v>150</v>
      </c>
      <c r="C271" s="20" t="s">
        <v>45</v>
      </c>
      <c r="D271" s="20" t="s">
        <v>8</v>
      </c>
      <c r="E271" s="20" t="s">
        <v>177</v>
      </c>
      <c r="F271" s="20" t="s">
        <v>4</v>
      </c>
      <c r="G271" s="40">
        <f>G272+G277+G286+G291</f>
        <v>175109.73410000003</v>
      </c>
      <c r="H271" s="40">
        <f t="shared" ref="H271:I271" si="117">H272+H277+H286</f>
        <v>35660.091200000003</v>
      </c>
      <c r="I271" s="40">
        <f t="shared" si="117"/>
        <v>89198.8</v>
      </c>
      <c r="J271" s="1"/>
    </row>
    <row r="272" spans="1:10" ht="47.25" outlineLevel="5">
      <c r="A272" s="18" t="s">
        <v>183</v>
      </c>
      <c r="B272" s="19" t="s">
        <v>150</v>
      </c>
      <c r="C272" s="20" t="s">
        <v>45</v>
      </c>
      <c r="D272" s="20" t="s">
        <v>8</v>
      </c>
      <c r="E272" s="20" t="s">
        <v>184</v>
      </c>
      <c r="F272" s="20" t="s">
        <v>4</v>
      </c>
      <c r="G272" s="40">
        <f>G273+G275</f>
        <v>5222.2000000000007</v>
      </c>
      <c r="H272" s="40">
        <f t="shared" ref="H272:I272" si="118">H273+H275</f>
        <v>15134.4</v>
      </c>
      <c r="I272" s="40">
        <f t="shared" si="118"/>
        <v>46060.4</v>
      </c>
      <c r="J272" s="1"/>
    </row>
    <row r="273" spans="1:10" ht="126" outlineLevel="6">
      <c r="A273" s="18" t="s">
        <v>185</v>
      </c>
      <c r="B273" s="19" t="s">
        <v>150</v>
      </c>
      <c r="C273" s="20" t="s">
        <v>45</v>
      </c>
      <c r="D273" s="20" t="s">
        <v>8</v>
      </c>
      <c r="E273" s="20" t="s">
        <v>186</v>
      </c>
      <c r="F273" s="20" t="s">
        <v>4</v>
      </c>
      <c r="G273" s="40">
        <f>G274</f>
        <v>1020.5999999999999</v>
      </c>
      <c r="H273" s="40">
        <f t="shared" ref="H273:I273" si="119">H274</f>
        <v>13166.9</v>
      </c>
      <c r="I273" s="40">
        <f t="shared" si="119"/>
        <v>24690.9</v>
      </c>
      <c r="J273" s="1"/>
    </row>
    <row r="274" spans="1:10" ht="47.25" outlineLevel="7">
      <c r="A274" s="18" t="s">
        <v>187</v>
      </c>
      <c r="B274" s="19" t="s">
        <v>150</v>
      </c>
      <c r="C274" s="20" t="s">
        <v>45</v>
      </c>
      <c r="D274" s="20" t="s">
        <v>8</v>
      </c>
      <c r="E274" s="20" t="s">
        <v>186</v>
      </c>
      <c r="F274" s="20" t="s">
        <v>188</v>
      </c>
      <c r="G274" s="40">
        <f>1090.6-70</f>
        <v>1020.5999999999999</v>
      </c>
      <c r="H274" s="40">
        <v>13166.9</v>
      </c>
      <c r="I274" s="40">
        <v>24690.9</v>
      </c>
      <c r="J274" s="1"/>
    </row>
    <row r="275" spans="1:10" ht="126" outlineLevel="6">
      <c r="A275" s="18" t="s">
        <v>185</v>
      </c>
      <c r="B275" s="19" t="s">
        <v>150</v>
      </c>
      <c r="C275" s="20" t="s">
        <v>45</v>
      </c>
      <c r="D275" s="20" t="s">
        <v>8</v>
      </c>
      <c r="E275" s="20" t="s">
        <v>189</v>
      </c>
      <c r="F275" s="20" t="s">
        <v>4</v>
      </c>
      <c r="G275" s="40">
        <f>G276</f>
        <v>4201.6000000000004</v>
      </c>
      <c r="H275" s="40">
        <f t="shared" ref="H275:I275" si="120">H276</f>
        <v>1967.5</v>
      </c>
      <c r="I275" s="40">
        <f t="shared" si="120"/>
        <v>21369.5</v>
      </c>
      <c r="J275" s="1"/>
    </row>
    <row r="276" spans="1:10" ht="47.25" outlineLevel="7">
      <c r="A276" s="18" t="s">
        <v>187</v>
      </c>
      <c r="B276" s="19" t="s">
        <v>150</v>
      </c>
      <c r="C276" s="20" t="s">
        <v>45</v>
      </c>
      <c r="D276" s="20" t="s">
        <v>8</v>
      </c>
      <c r="E276" s="20" t="s">
        <v>189</v>
      </c>
      <c r="F276" s="20" t="s">
        <v>188</v>
      </c>
      <c r="G276" s="40">
        <f>4140+3+6+16.1+36.5</f>
        <v>4201.6000000000004</v>
      </c>
      <c r="H276" s="40">
        <v>1967.5</v>
      </c>
      <c r="I276" s="40">
        <f>3689.5+17680</f>
        <v>21369.5</v>
      </c>
      <c r="J276" s="1"/>
    </row>
    <row r="277" spans="1:10" ht="63" outlineLevel="5">
      <c r="A277" s="18" t="s">
        <v>206</v>
      </c>
      <c r="B277" s="19" t="s">
        <v>150</v>
      </c>
      <c r="C277" s="20" t="s">
        <v>45</v>
      </c>
      <c r="D277" s="20" t="s">
        <v>8</v>
      </c>
      <c r="E277" s="20" t="s">
        <v>207</v>
      </c>
      <c r="F277" s="20" t="s">
        <v>4</v>
      </c>
      <c r="G277" s="40">
        <f>G278+G280+G282+G284</f>
        <v>67317.594100000002</v>
      </c>
      <c r="H277" s="40">
        <f t="shared" ref="H277:I277" si="121">H278+H280+H282+H284</f>
        <v>1800</v>
      </c>
      <c r="I277" s="40">
        <f t="shared" si="121"/>
        <v>11310</v>
      </c>
      <c r="J277" s="1"/>
    </row>
    <row r="278" spans="1:10" ht="78.75" outlineLevel="6">
      <c r="A278" s="18" t="s">
        <v>208</v>
      </c>
      <c r="B278" s="19" t="s">
        <v>150</v>
      </c>
      <c r="C278" s="20" t="s">
        <v>45</v>
      </c>
      <c r="D278" s="20" t="s">
        <v>8</v>
      </c>
      <c r="E278" s="20" t="s">
        <v>209</v>
      </c>
      <c r="F278" s="20" t="s">
        <v>4</v>
      </c>
      <c r="G278" s="40">
        <f>G279</f>
        <v>0</v>
      </c>
      <c r="H278" s="40">
        <f t="shared" ref="H278:I278" si="122">H279</f>
        <v>0</v>
      </c>
      <c r="I278" s="40">
        <f t="shared" si="122"/>
        <v>9839.7000000000007</v>
      </c>
      <c r="J278" s="1"/>
    </row>
    <row r="279" spans="1:10" ht="63" outlineLevel="7">
      <c r="A279" s="18" t="s">
        <v>27</v>
      </c>
      <c r="B279" s="19" t="s">
        <v>150</v>
      </c>
      <c r="C279" s="20" t="s">
        <v>45</v>
      </c>
      <c r="D279" s="20" t="s">
        <v>8</v>
      </c>
      <c r="E279" s="20" t="s">
        <v>209</v>
      </c>
      <c r="F279" s="20" t="s">
        <v>28</v>
      </c>
      <c r="G279" s="40">
        <v>0</v>
      </c>
      <c r="H279" s="40">
        <v>0</v>
      </c>
      <c r="I279" s="40">
        <v>9839.7000000000007</v>
      </c>
      <c r="J279" s="1"/>
    </row>
    <row r="280" spans="1:10" ht="63" outlineLevel="6">
      <c r="A280" s="18" t="s">
        <v>210</v>
      </c>
      <c r="B280" s="19" t="s">
        <v>150</v>
      </c>
      <c r="C280" s="20" t="s">
        <v>45</v>
      </c>
      <c r="D280" s="20" t="s">
        <v>8</v>
      </c>
      <c r="E280" s="20" t="s">
        <v>211</v>
      </c>
      <c r="F280" s="20" t="s">
        <v>4</v>
      </c>
      <c r="G280" s="40">
        <f>G281</f>
        <v>58296</v>
      </c>
      <c r="H280" s="40">
        <f t="shared" ref="H280:I280" si="123">H281</f>
        <v>0</v>
      </c>
      <c r="I280" s="40">
        <f t="shared" si="123"/>
        <v>0</v>
      </c>
      <c r="J280" s="1"/>
    </row>
    <row r="281" spans="1:10" ht="47.25" outlineLevel="7">
      <c r="A281" s="18" t="s">
        <v>187</v>
      </c>
      <c r="B281" s="19" t="s">
        <v>150</v>
      </c>
      <c r="C281" s="20" t="s">
        <v>45</v>
      </c>
      <c r="D281" s="20" t="s">
        <v>8</v>
      </c>
      <c r="E281" s="20" t="s">
        <v>211</v>
      </c>
      <c r="F281" s="20" t="s">
        <v>188</v>
      </c>
      <c r="G281" s="40">
        <v>58296</v>
      </c>
      <c r="H281" s="40">
        <v>0</v>
      </c>
      <c r="I281" s="40">
        <v>0</v>
      </c>
      <c r="J281" s="1"/>
    </row>
    <row r="282" spans="1:10" ht="78.75" outlineLevel="6">
      <c r="A282" s="18" t="s">
        <v>208</v>
      </c>
      <c r="B282" s="19" t="s">
        <v>150</v>
      </c>
      <c r="C282" s="20" t="s">
        <v>45</v>
      </c>
      <c r="D282" s="20" t="s">
        <v>8</v>
      </c>
      <c r="E282" s="20" t="s">
        <v>212</v>
      </c>
      <c r="F282" s="20" t="s">
        <v>4</v>
      </c>
      <c r="G282" s="40">
        <f>G283</f>
        <v>0</v>
      </c>
      <c r="H282" s="40">
        <f t="shared" ref="H282:I282" si="124">H283</f>
        <v>1800</v>
      </c>
      <c r="I282" s="40">
        <f t="shared" si="124"/>
        <v>1470.3</v>
      </c>
      <c r="J282" s="1"/>
    </row>
    <row r="283" spans="1:10" ht="67.5" customHeight="1" outlineLevel="7">
      <c r="A283" s="18" t="s">
        <v>27</v>
      </c>
      <c r="B283" s="19" t="s">
        <v>150</v>
      </c>
      <c r="C283" s="20" t="s">
        <v>45</v>
      </c>
      <c r="D283" s="20" t="s">
        <v>8</v>
      </c>
      <c r="E283" s="20" t="s">
        <v>212</v>
      </c>
      <c r="F283" s="20" t="s">
        <v>28</v>
      </c>
      <c r="G283" s="40">
        <v>0</v>
      </c>
      <c r="H283" s="40">
        <v>1800</v>
      </c>
      <c r="I283" s="40">
        <v>1470.3</v>
      </c>
      <c r="J283" s="1"/>
    </row>
    <row r="284" spans="1:10" ht="63" outlineLevel="6">
      <c r="A284" s="18" t="s">
        <v>210</v>
      </c>
      <c r="B284" s="19" t="s">
        <v>150</v>
      </c>
      <c r="C284" s="20" t="s">
        <v>45</v>
      </c>
      <c r="D284" s="20" t="s">
        <v>8</v>
      </c>
      <c r="E284" s="20" t="s">
        <v>213</v>
      </c>
      <c r="F284" s="20" t="s">
        <v>4</v>
      </c>
      <c r="G284" s="40">
        <f>G285</f>
        <v>9021.5941000000003</v>
      </c>
      <c r="H284" s="40">
        <f t="shared" ref="H284:I284" si="125">H285</f>
        <v>0</v>
      </c>
      <c r="I284" s="40">
        <f t="shared" si="125"/>
        <v>0</v>
      </c>
      <c r="J284" s="1"/>
    </row>
    <row r="285" spans="1:10" ht="47.25" outlineLevel="7">
      <c r="A285" s="18" t="s">
        <v>187</v>
      </c>
      <c r="B285" s="19" t="s">
        <v>150</v>
      </c>
      <c r="C285" s="20" t="s">
        <v>45</v>
      </c>
      <c r="D285" s="20" t="s">
        <v>8</v>
      </c>
      <c r="E285" s="20" t="s">
        <v>213</v>
      </c>
      <c r="F285" s="20" t="s">
        <v>188</v>
      </c>
      <c r="G285" s="40">
        <f>8710.9+0.1-0.7+20.7+108.426+108.3461+17.122+16.7+40</f>
        <v>9021.5941000000003</v>
      </c>
      <c r="H285" s="40">
        <v>0</v>
      </c>
      <c r="I285" s="40">
        <v>0</v>
      </c>
      <c r="J285" s="1"/>
    </row>
    <row r="286" spans="1:10" ht="66.599999999999994" customHeight="1" outlineLevel="5">
      <c r="A286" s="18" t="s">
        <v>214</v>
      </c>
      <c r="B286" s="19" t="s">
        <v>150</v>
      </c>
      <c r="C286" s="20" t="s">
        <v>45</v>
      </c>
      <c r="D286" s="20" t="s">
        <v>8</v>
      </c>
      <c r="E286" s="20" t="s">
        <v>215</v>
      </c>
      <c r="F286" s="20" t="s">
        <v>4</v>
      </c>
      <c r="G286" s="40">
        <f>G287+G289</f>
        <v>86790.400000000009</v>
      </c>
      <c r="H286" s="40">
        <f t="shared" ref="H286:I286" si="126">H287+H289</f>
        <v>18725.691200000001</v>
      </c>
      <c r="I286" s="40">
        <f t="shared" si="126"/>
        <v>31828.400000000001</v>
      </c>
      <c r="J286" s="1"/>
    </row>
    <row r="287" spans="1:10" ht="63.75" customHeight="1" outlineLevel="6">
      <c r="A287" s="18" t="s">
        <v>216</v>
      </c>
      <c r="B287" s="19" t="s">
        <v>150</v>
      </c>
      <c r="C287" s="20" t="s">
        <v>45</v>
      </c>
      <c r="D287" s="20" t="s">
        <v>8</v>
      </c>
      <c r="E287" s="20" t="s">
        <v>217</v>
      </c>
      <c r="F287" s="20" t="s">
        <v>4</v>
      </c>
      <c r="G287" s="40">
        <f>G288</f>
        <v>74270.700000000012</v>
      </c>
      <c r="H287" s="40">
        <f t="shared" ref="H287:I287" si="127">H288</f>
        <v>0</v>
      </c>
      <c r="I287" s="40">
        <f t="shared" si="127"/>
        <v>27690.7</v>
      </c>
      <c r="J287" s="1"/>
    </row>
    <row r="288" spans="1:10" ht="47.25" outlineLevel="7">
      <c r="A288" s="18" t="s">
        <v>187</v>
      </c>
      <c r="B288" s="19" t="s">
        <v>150</v>
      </c>
      <c r="C288" s="20" t="s">
        <v>45</v>
      </c>
      <c r="D288" s="20" t="s">
        <v>8</v>
      </c>
      <c r="E288" s="20" t="s">
        <v>217</v>
      </c>
      <c r="F288" s="20" t="s">
        <v>188</v>
      </c>
      <c r="G288" s="40">
        <f>29416+54337.6-2801.2-6681.7</f>
        <v>74270.700000000012</v>
      </c>
      <c r="H288" s="40">
        <v>0</v>
      </c>
      <c r="I288" s="40">
        <v>27690.7</v>
      </c>
      <c r="J288" s="1"/>
    </row>
    <row r="289" spans="1:10" ht="68.25" customHeight="1" outlineLevel="6">
      <c r="A289" s="18" t="s">
        <v>216</v>
      </c>
      <c r="B289" s="19" t="s">
        <v>150</v>
      </c>
      <c r="C289" s="20" t="s">
        <v>45</v>
      </c>
      <c r="D289" s="20" t="s">
        <v>8</v>
      </c>
      <c r="E289" s="20" t="s">
        <v>218</v>
      </c>
      <c r="F289" s="20" t="s">
        <v>4</v>
      </c>
      <c r="G289" s="40">
        <f>G290</f>
        <v>12519.7</v>
      </c>
      <c r="H289" s="40">
        <f t="shared" ref="H289:I289" si="128">H290</f>
        <v>18725.691200000001</v>
      </c>
      <c r="I289" s="40">
        <f t="shared" si="128"/>
        <v>4137.7</v>
      </c>
      <c r="J289" s="1"/>
    </row>
    <row r="290" spans="1:10" ht="47.25" outlineLevel="7">
      <c r="A290" s="18" t="s">
        <v>187</v>
      </c>
      <c r="B290" s="19" t="s">
        <v>150</v>
      </c>
      <c r="C290" s="20" t="s">
        <v>45</v>
      </c>
      <c r="D290" s="20" t="s">
        <v>8</v>
      </c>
      <c r="E290" s="20" t="s">
        <v>218</v>
      </c>
      <c r="F290" s="20" t="s">
        <v>188</v>
      </c>
      <c r="G290" s="40">
        <f>4400+8119+0.7</f>
        <v>12519.7</v>
      </c>
      <c r="H290" s="40">
        <v>18725.691200000001</v>
      </c>
      <c r="I290" s="40">
        <v>4137.7</v>
      </c>
      <c r="J290" s="1"/>
    </row>
    <row r="291" spans="1:10" ht="94.5" outlineLevel="7">
      <c r="A291" s="18" t="s">
        <v>678</v>
      </c>
      <c r="B291" s="19" t="s">
        <v>150</v>
      </c>
      <c r="C291" s="20" t="s">
        <v>45</v>
      </c>
      <c r="D291" s="20" t="s">
        <v>8</v>
      </c>
      <c r="E291" s="20" t="s">
        <v>677</v>
      </c>
      <c r="F291" s="20" t="s">
        <v>4</v>
      </c>
      <c r="G291" s="40">
        <f>G292+G294</f>
        <v>15779.54</v>
      </c>
      <c r="H291" s="40">
        <f t="shared" ref="H291:I292" si="129">H292</f>
        <v>0</v>
      </c>
      <c r="I291" s="40">
        <f t="shared" si="129"/>
        <v>0</v>
      </c>
      <c r="J291" s="1"/>
    </row>
    <row r="292" spans="1:10" ht="47.25" outlineLevel="7">
      <c r="A292" s="30" t="s">
        <v>679</v>
      </c>
      <c r="B292" s="19" t="s">
        <v>150</v>
      </c>
      <c r="C292" s="20" t="s">
        <v>45</v>
      </c>
      <c r="D292" s="20" t="s">
        <v>8</v>
      </c>
      <c r="E292" s="20" t="s">
        <v>681</v>
      </c>
      <c r="F292" s="20" t="s">
        <v>4</v>
      </c>
      <c r="G292" s="40">
        <f>G293</f>
        <v>13728.2</v>
      </c>
      <c r="H292" s="40">
        <f t="shared" si="129"/>
        <v>0</v>
      </c>
      <c r="I292" s="40">
        <f t="shared" si="129"/>
        <v>0</v>
      </c>
      <c r="J292" s="1"/>
    </row>
    <row r="293" spans="1:10" ht="47.25" outlineLevel="7">
      <c r="A293" s="18" t="s">
        <v>680</v>
      </c>
      <c r="B293" s="19" t="s">
        <v>150</v>
      </c>
      <c r="C293" s="20" t="s">
        <v>45</v>
      </c>
      <c r="D293" s="20" t="s">
        <v>8</v>
      </c>
      <c r="E293" s="20" t="s">
        <v>681</v>
      </c>
      <c r="F293" s="20">
        <v>200</v>
      </c>
      <c r="G293" s="40">
        <v>13728.2</v>
      </c>
      <c r="H293" s="40">
        <v>0</v>
      </c>
      <c r="I293" s="40">
        <v>0</v>
      </c>
      <c r="J293" s="1"/>
    </row>
    <row r="294" spans="1:10" ht="47.25" outlineLevel="7">
      <c r="A294" s="30" t="s">
        <v>679</v>
      </c>
      <c r="B294" s="19" t="s">
        <v>150</v>
      </c>
      <c r="C294" s="20" t="s">
        <v>45</v>
      </c>
      <c r="D294" s="20" t="s">
        <v>8</v>
      </c>
      <c r="E294" s="20" t="s">
        <v>692</v>
      </c>
      <c r="F294" s="20" t="s">
        <v>4</v>
      </c>
      <c r="G294" s="40">
        <f>G295</f>
        <v>2051.34</v>
      </c>
      <c r="H294" s="40">
        <f t="shared" ref="H294:I294" si="130">H295</f>
        <v>0</v>
      </c>
      <c r="I294" s="40">
        <f t="shared" si="130"/>
        <v>0</v>
      </c>
      <c r="J294" s="1"/>
    </row>
    <row r="295" spans="1:10" ht="47.25" outlineLevel="7">
      <c r="A295" s="18" t="s">
        <v>680</v>
      </c>
      <c r="B295" s="19" t="s">
        <v>150</v>
      </c>
      <c r="C295" s="20" t="s">
        <v>45</v>
      </c>
      <c r="D295" s="20" t="s">
        <v>8</v>
      </c>
      <c r="E295" s="20" t="s">
        <v>692</v>
      </c>
      <c r="F295" s="20">
        <v>200</v>
      </c>
      <c r="G295" s="40">
        <f>2051.3+0.04</f>
        <v>2051.34</v>
      </c>
      <c r="H295" s="40">
        <v>0</v>
      </c>
      <c r="I295" s="40">
        <v>0</v>
      </c>
      <c r="J295" s="1"/>
    </row>
    <row r="296" spans="1:10" ht="18.75" customHeight="1" outlineLevel="7">
      <c r="A296" s="18" t="s">
        <v>703</v>
      </c>
      <c r="B296" s="19" t="s">
        <v>150</v>
      </c>
      <c r="C296" s="20" t="s">
        <v>45</v>
      </c>
      <c r="D296" s="20" t="s">
        <v>8</v>
      </c>
      <c r="E296" s="20" t="s">
        <v>134</v>
      </c>
      <c r="F296" s="20" t="s">
        <v>4</v>
      </c>
      <c r="G296" s="40">
        <f>G297</f>
        <v>332.3</v>
      </c>
      <c r="H296" s="40">
        <f t="shared" ref="H296:I296" si="131">H297</f>
        <v>32.549999999999997</v>
      </c>
      <c r="I296" s="40">
        <f t="shared" si="131"/>
        <v>0</v>
      </c>
      <c r="J296" s="1"/>
    </row>
    <row r="297" spans="1:10" ht="66.75" customHeight="1" outlineLevel="7">
      <c r="A297" s="18" t="s">
        <v>704</v>
      </c>
      <c r="B297" s="19" t="s">
        <v>150</v>
      </c>
      <c r="C297" s="20" t="s">
        <v>45</v>
      </c>
      <c r="D297" s="20" t="s">
        <v>8</v>
      </c>
      <c r="E297" s="20" t="s">
        <v>700</v>
      </c>
      <c r="F297" s="20" t="s">
        <v>4</v>
      </c>
      <c r="G297" s="40">
        <f>G298</f>
        <v>332.3</v>
      </c>
      <c r="H297" s="40">
        <f t="shared" ref="H297:I298" si="132">H298</f>
        <v>32.549999999999997</v>
      </c>
      <c r="I297" s="40">
        <f t="shared" si="132"/>
        <v>0</v>
      </c>
      <c r="J297" s="1"/>
    </row>
    <row r="298" spans="1:10" ht="48" customHeight="1" outlineLevel="7">
      <c r="A298" s="18" t="s">
        <v>702</v>
      </c>
      <c r="B298" s="19" t="s">
        <v>150</v>
      </c>
      <c r="C298" s="20" t="s">
        <v>45</v>
      </c>
      <c r="D298" s="20" t="s">
        <v>8</v>
      </c>
      <c r="E298" s="20" t="s">
        <v>701</v>
      </c>
      <c r="F298" s="20" t="s">
        <v>4</v>
      </c>
      <c r="G298" s="40">
        <f>G299</f>
        <v>332.3</v>
      </c>
      <c r="H298" s="40">
        <f t="shared" si="132"/>
        <v>32.549999999999997</v>
      </c>
      <c r="I298" s="40">
        <f t="shared" si="132"/>
        <v>0</v>
      </c>
      <c r="J298" s="1"/>
    </row>
    <row r="299" spans="1:10" ht="47.25" outlineLevel="7">
      <c r="A299" s="18" t="s">
        <v>187</v>
      </c>
      <c r="B299" s="19" t="s">
        <v>150</v>
      </c>
      <c r="C299" s="20" t="s">
        <v>45</v>
      </c>
      <c r="D299" s="20" t="s">
        <v>8</v>
      </c>
      <c r="E299" s="20" t="s">
        <v>701</v>
      </c>
      <c r="F299" s="20" t="s">
        <v>188</v>
      </c>
      <c r="G299" s="40">
        <f>292.3+40</f>
        <v>332.3</v>
      </c>
      <c r="H299" s="40">
        <v>32.549999999999997</v>
      </c>
      <c r="I299" s="40">
        <v>0</v>
      </c>
      <c r="J299" s="1"/>
    </row>
    <row r="300" spans="1:10" ht="15.75" outlineLevel="2">
      <c r="A300" s="15" t="s">
        <v>219</v>
      </c>
      <c r="B300" s="16" t="s">
        <v>150</v>
      </c>
      <c r="C300" s="17" t="s">
        <v>45</v>
      </c>
      <c r="D300" s="17" t="s">
        <v>81</v>
      </c>
      <c r="E300" s="17" t="s">
        <v>3</v>
      </c>
      <c r="F300" s="17" t="s">
        <v>4</v>
      </c>
      <c r="G300" s="39">
        <f>G301+G324</f>
        <v>340929.54</v>
      </c>
      <c r="H300" s="39">
        <f t="shared" ref="H300:I300" si="133">H301+H324</f>
        <v>118878.01880000001</v>
      </c>
      <c r="I300" s="39">
        <f t="shared" si="133"/>
        <v>115748.70000000001</v>
      </c>
      <c r="J300" s="1"/>
    </row>
    <row r="301" spans="1:10" ht="63" outlineLevel="3">
      <c r="A301" s="18" t="s">
        <v>132</v>
      </c>
      <c r="B301" s="19" t="s">
        <v>150</v>
      </c>
      <c r="C301" s="20" t="s">
        <v>45</v>
      </c>
      <c r="D301" s="20" t="s">
        <v>81</v>
      </c>
      <c r="E301" s="20" t="s">
        <v>133</v>
      </c>
      <c r="F301" s="20" t="s">
        <v>4</v>
      </c>
      <c r="G301" s="40">
        <f>G302+G306</f>
        <v>192925.13999999998</v>
      </c>
      <c r="H301" s="40">
        <f t="shared" ref="H301:I301" si="134">H302+H306</f>
        <v>54895.618800000004</v>
      </c>
      <c r="I301" s="40">
        <f t="shared" si="134"/>
        <v>49219.600000000006</v>
      </c>
      <c r="J301" s="1"/>
    </row>
    <row r="302" spans="1:10" ht="47.25" outlineLevel="4">
      <c r="A302" s="18" t="s">
        <v>94</v>
      </c>
      <c r="B302" s="19" t="s">
        <v>150</v>
      </c>
      <c r="C302" s="20" t="s">
        <v>45</v>
      </c>
      <c r="D302" s="20" t="s">
        <v>81</v>
      </c>
      <c r="E302" s="20" t="s">
        <v>177</v>
      </c>
      <c r="F302" s="20" t="s">
        <v>4</v>
      </c>
      <c r="G302" s="40">
        <f>G303</f>
        <v>5963.75</v>
      </c>
      <c r="H302" s="40">
        <f t="shared" ref="H302:I303" si="135">H303</f>
        <v>0</v>
      </c>
      <c r="I302" s="40">
        <f t="shared" si="135"/>
        <v>0</v>
      </c>
      <c r="J302" s="1"/>
    </row>
    <row r="303" spans="1:10" ht="78.75" outlineLevel="5">
      <c r="A303" s="18" t="s">
        <v>220</v>
      </c>
      <c r="B303" s="19" t="s">
        <v>150</v>
      </c>
      <c r="C303" s="20" t="s">
        <v>45</v>
      </c>
      <c r="D303" s="20" t="s">
        <v>81</v>
      </c>
      <c r="E303" s="20" t="s">
        <v>221</v>
      </c>
      <c r="F303" s="20" t="s">
        <v>4</v>
      </c>
      <c r="G303" s="40">
        <f>G304</f>
        <v>5963.75</v>
      </c>
      <c r="H303" s="40">
        <f t="shared" si="135"/>
        <v>0</v>
      </c>
      <c r="I303" s="40">
        <f t="shared" si="135"/>
        <v>0</v>
      </c>
      <c r="J303" s="1"/>
    </row>
    <row r="304" spans="1:10" ht="129" customHeight="1" outlineLevel="6">
      <c r="A304" s="18" t="s">
        <v>222</v>
      </c>
      <c r="B304" s="19" t="s">
        <v>150</v>
      </c>
      <c r="C304" s="20" t="s">
        <v>45</v>
      </c>
      <c r="D304" s="20" t="s">
        <v>81</v>
      </c>
      <c r="E304" s="20" t="s">
        <v>223</v>
      </c>
      <c r="F304" s="20" t="s">
        <v>4</v>
      </c>
      <c r="G304" s="40">
        <f>G305</f>
        <v>5963.75</v>
      </c>
      <c r="H304" s="40">
        <f t="shared" ref="H304:I304" si="136">H305</f>
        <v>0</v>
      </c>
      <c r="I304" s="40">
        <f t="shared" si="136"/>
        <v>0</v>
      </c>
      <c r="J304" s="1"/>
    </row>
    <row r="305" spans="1:10" ht="47.45" customHeight="1" outlineLevel="7">
      <c r="A305" s="18" t="s">
        <v>27</v>
      </c>
      <c r="B305" s="19" t="s">
        <v>150</v>
      </c>
      <c r="C305" s="20" t="s">
        <v>45</v>
      </c>
      <c r="D305" s="20" t="s">
        <v>81</v>
      </c>
      <c r="E305" s="20" t="s">
        <v>223</v>
      </c>
      <c r="F305" s="20" t="s">
        <v>28</v>
      </c>
      <c r="G305" s="40">
        <f>5896.8+66.95</f>
        <v>5963.75</v>
      </c>
      <c r="H305" s="40">
        <v>0</v>
      </c>
      <c r="I305" s="40">
        <v>0</v>
      </c>
      <c r="J305" s="1"/>
    </row>
    <row r="306" spans="1:10" ht="31.5" outlineLevel="4">
      <c r="A306" s="18" t="s">
        <v>11</v>
      </c>
      <c r="B306" s="19" t="s">
        <v>150</v>
      </c>
      <c r="C306" s="20" t="s">
        <v>45</v>
      </c>
      <c r="D306" s="20" t="s">
        <v>81</v>
      </c>
      <c r="E306" s="20" t="s">
        <v>134</v>
      </c>
      <c r="F306" s="20" t="s">
        <v>4</v>
      </c>
      <c r="G306" s="40">
        <f>G307+G318</f>
        <v>186961.38999999998</v>
      </c>
      <c r="H306" s="40">
        <f t="shared" ref="H306:I306" si="137">H307+H318</f>
        <v>54895.618800000004</v>
      </c>
      <c r="I306" s="40">
        <f t="shared" si="137"/>
        <v>49219.600000000006</v>
      </c>
      <c r="J306" s="1"/>
    </row>
    <row r="307" spans="1:10" ht="63" outlineLevel="5">
      <c r="A307" s="18" t="s">
        <v>224</v>
      </c>
      <c r="B307" s="19" t="s">
        <v>150</v>
      </c>
      <c r="C307" s="20" t="s">
        <v>45</v>
      </c>
      <c r="D307" s="20" t="s">
        <v>81</v>
      </c>
      <c r="E307" s="20" t="s">
        <v>225</v>
      </c>
      <c r="F307" s="20" t="s">
        <v>4</v>
      </c>
      <c r="G307" s="40">
        <f>G308+G310+G312+G314+G316</f>
        <v>145168.82499999998</v>
      </c>
      <c r="H307" s="40">
        <f t="shared" ref="H307:I307" si="138">H308+H310+H312</f>
        <v>38264.290800000002</v>
      </c>
      <c r="I307" s="40">
        <f t="shared" si="138"/>
        <v>43694.372000000003</v>
      </c>
      <c r="J307" s="1"/>
    </row>
    <row r="308" spans="1:10" ht="63" outlineLevel="6">
      <c r="A308" s="18" t="s">
        <v>226</v>
      </c>
      <c r="B308" s="19" t="s">
        <v>150</v>
      </c>
      <c r="C308" s="20" t="s">
        <v>45</v>
      </c>
      <c r="D308" s="20" t="s">
        <v>81</v>
      </c>
      <c r="E308" s="20" t="s">
        <v>227</v>
      </c>
      <c r="F308" s="20" t="s">
        <v>4</v>
      </c>
      <c r="G308" s="40">
        <f>G309</f>
        <v>103573.02500000001</v>
      </c>
      <c r="H308" s="40">
        <f t="shared" ref="H308:I308" si="139">H309</f>
        <v>33996.840800000005</v>
      </c>
      <c r="I308" s="40">
        <f t="shared" si="139"/>
        <v>39394.372000000003</v>
      </c>
      <c r="J308" s="1"/>
    </row>
    <row r="309" spans="1:10" ht="50.45" customHeight="1" outlineLevel="7">
      <c r="A309" s="18" t="s">
        <v>103</v>
      </c>
      <c r="B309" s="19" t="s">
        <v>150</v>
      </c>
      <c r="C309" s="20" t="s">
        <v>45</v>
      </c>
      <c r="D309" s="20" t="s">
        <v>81</v>
      </c>
      <c r="E309" s="20" t="s">
        <v>227</v>
      </c>
      <c r="F309" s="20" t="s">
        <v>104</v>
      </c>
      <c r="G309" s="40">
        <f>57074.372+1378.1+7500+20687.4+33.153+15400+1500</f>
        <v>103573.02500000001</v>
      </c>
      <c r="H309" s="40">
        <f>57074.372-23077.5312</f>
        <v>33996.840800000005</v>
      </c>
      <c r="I309" s="40">
        <f>57074.372-17680</f>
        <v>39394.372000000003</v>
      </c>
      <c r="J309" s="1"/>
    </row>
    <row r="310" spans="1:10" ht="31.5" outlineLevel="6">
      <c r="A310" s="18" t="s">
        <v>228</v>
      </c>
      <c r="B310" s="19" t="s">
        <v>150</v>
      </c>
      <c r="C310" s="20" t="s">
        <v>45</v>
      </c>
      <c r="D310" s="20" t="s">
        <v>81</v>
      </c>
      <c r="E310" s="20" t="s">
        <v>229</v>
      </c>
      <c r="F310" s="20" t="s">
        <v>4</v>
      </c>
      <c r="G310" s="40">
        <f>G311</f>
        <v>2300</v>
      </c>
      <c r="H310" s="40">
        <f t="shared" ref="H310:I310" si="140">H311</f>
        <v>2300</v>
      </c>
      <c r="I310" s="40">
        <f t="shared" si="140"/>
        <v>2300</v>
      </c>
      <c r="J310" s="1"/>
    </row>
    <row r="311" spans="1:10" ht="51.6" customHeight="1" outlineLevel="7">
      <c r="A311" s="18" t="s">
        <v>27</v>
      </c>
      <c r="B311" s="19" t="s">
        <v>150</v>
      </c>
      <c r="C311" s="20" t="s">
        <v>45</v>
      </c>
      <c r="D311" s="20" t="s">
        <v>81</v>
      </c>
      <c r="E311" s="20" t="s">
        <v>229</v>
      </c>
      <c r="F311" s="20" t="s">
        <v>28</v>
      </c>
      <c r="G311" s="40">
        <v>2300</v>
      </c>
      <c r="H311" s="40">
        <v>2300</v>
      </c>
      <c r="I311" s="40">
        <v>2300</v>
      </c>
      <c r="J311" s="1"/>
    </row>
    <row r="312" spans="1:10" ht="31.5" outlineLevel="6">
      <c r="A312" s="18" t="s">
        <v>230</v>
      </c>
      <c r="B312" s="19" t="s">
        <v>150</v>
      </c>
      <c r="C312" s="20" t="s">
        <v>45</v>
      </c>
      <c r="D312" s="20" t="s">
        <v>81</v>
      </c>
      <c r="E312" s="20" t="s">
        <v>231</v>
      </c>
      <c r="F312" s="20" t="s">
        <v>4</v>
      </c>
      <c r="G312" s="40">
        <f>G313</f>
        <v>4.9000000000000004</v>
      </c>
      <c r="H312" s="40">
        <f t="shared" ref="H312:I312" si="141">H313</f>
        <v>1967.45</v>
      </c>
      <c r="I312" s="40">
        <f t="shared" si="141"/>
        <v>2000</v>
      </c>
      <c r="J312" s="1"/>
    </row>
    <row r="313" spans="1:10" ht="60.75" customHeight="1" outlineLevel="7">
      <c r="A313" s="18" t="s">
        <v>27</v>
      </c>
      <c r="B313" s="19" t="s">
        <v>150</v>
      </c>
      <c r="C313" s="20" t="s">
        <v>45</v>
      </c>
      <c r="D313" s="20" t="s">
        <v>81</v>
      </c>
      <c r="E313" s="20" t="s">
        <v>231</v>
      </c>
      <c r="F313" s="20" t="s">
        <v>28</v>
      </c>
      <c r="G313" s="40">
        <v>4.9000000000000004</v>
      </c>
      <c r="H313" s="40">
        <f>2000-32.55</f>
        <v>1967.45</v>
      </c>
      <c r="I313" s="40">
        <v>2000</v>
      </c>
      <c r="J313" s="1"/>
    </row>
    <row r="314" spans="1:10" ht="62.25" customHeight="1" outlineLevel="7">
      <c r="A314" s="21" t="s">
        <v>733</v>
      </c>
      <c r="B314" s="22" t="s">
        <v>150</v>
      </c>
      <c r="C314" s="20" t="s">
        <v>45</v>
      </c>
      <c r="D314" s="20" t="s">
        <v>81</v>
      </c>
      <c r="E314" s="19" t="s">
        <v>734</v>
      </c>
      <c r="F314" s="20" t="s">
        <v>4</v>
      </c>
      <c r="G314" s="40">
        <f>G315</f>
        <v>37287</v>
      </c>
      <c r="H314" s="40">
        <f t="shared" ref="H314:I314" si="142">H315</f>
        <v>0</v>
      </c>
      <c r="I314" s="40">
        <f t="shared" si="142"/>
        <v>0</v>
      </c>
      <c r="J314" s="1"/>
    </row>
    <row r="315" spans="1:10" ht="96" customHeight="1" outlineLevel="7">
      <c r="A315" s="18" t="s">
        <v>103</v>
      </c>
      <c r="B315" s="19" t="s">
        <v>150</v>
      </c>
      <c r="C315" s="20" t="s">
        <v>45</v>
      </c>
      <c r="D315" s="20" t="s">
        <v>81</v>
      </c>
      <c r="E315" s="19" t="s">
        <v>734</v>
      </c>
      <c r="F315" s="32">
        <v>600</v>
      </c>
      <c r="G315" s="40">
        <v>37287</v>
      </c>
      <c r="H315" s="40">
        <v>0</v>
      </c>
      <c r="I315" s="40">
        <v>0</v>
      </c>
      <c r="J315" s="1"/>
    </row>
    <row r="316" spans="1:10" ht="55.5" customHeight="1" outlineLevel="7">
      <c r="A316" s="21" t="s">
        <v>733</v>
      </c>
      <c r="B316" s="22" t="s">
        <v>150</v>
      </c>
      <c r="C316" s="20" t="s">
        <v>45</v>
      </c>
      <c r="D316" s="20" t="s">
        <v>81</v>
      </c>
      <c r="E316" s="19" t="s">
        <v>745</v>
      </c>
      <c r="F316" s="20" t="s">
        <v>4</v>
      </c>
      <c r="G316" s="40">
        <f>G317</f>
        <v>2003.9</v>
      </c>
      <c r="H316" s="40">
        <f t="shared" ref="H316:I316" si="143">H317</f>
        <v>0</v>
      </c>
      <c r="I316" s="40">
        <f t="shared" si="143"/>
        <v>0</v>
      </c>
      <c r="J316" s="1"/>
    </row>
    <row r="317" spans="1:10" ht="96" customHeight="1" outlineLevel="7">
      <c r="A317" s="18" t="s">
        <v>103</v>
      </c>
      <c r="B317" s="19" t="s">
        <v>150</v>
      </c>
      <c r="C317" s="20" t="s">
        <v>45</v>
      </c>
      <c r="D317" s="20" t="s">
        <v>81</v>
      </c>
      <c r="E317" s="19" t="s">
        <v>745</v>
      </c>
      <c r="F317" s="32">
        <v>600</v>
      </c>
      <c r="G317" s="40">
        <v>2003.9</v>
      </c>
      <c r="H317" s="40">
        <v>0</v>
      </c>
      <c r="I317" s="40">
        <v>0</v>
      </c>
      <c r="J317" s="1"/>
    </row>
    <row r="318" spans="1:10" ht="63" outlineLevel="5">
      <c r="A318" s="18" t="s">
        <v>232</v>
      </c>
      <c r="B318" s="19" t="s">
        <v>150</v>
      </c>
      <c r="C318" s="20" t="s">
        <v>45</v>
      </c>
      <c r="D318" s="20" t="s">
        <v>81</v>
      </c>
      <c r="E318" s="20" t="s">
        <v>233</v>
      </c>
      <c r="F318" s="20" t="s">
        <v>4</v>
      </c>
      <c r="G318" s="40">
        <f>G319+G322</f>
        <v>41792.565000000002</v>
      </c>
      <c r="H318" s="40">
        <f t="shared" ref="H318:I318" si="144">H319+H322</f>
        <v>16631.328000000001</v>
      </c>
      <c r="I318" s="40">
        <f t="shared" si="144"/>
        <v>5525.2279999999992</v>
      </c>
      <c r="J318" s="1"/>
    </row>
    <row r="319" spans="1:10" ht="20.25" customHeight="1" outlineLevel="6">
      <c r="A319" s="18" t="s">
        <v>234</v>
      </c>
      <c r="B319" s="19" t="s">
        <v>150</v>
      </c>
      <c r="C319" s="20" t="s">
        <v>45</v>
      </c>
      <c r="D319" s="20" t="s">
        <v>81</v>
      </c>
      <c r="E319" s="20" t="s">
        <v>235</v>
      </c>
      <c r="F319" s="20" t="s">
        <v>4</v>
      </c>
      <c r="G319" s="40">
        <f>G320+G321</f>
        <v>4352.8599999999997</v>
      </c>
      <c r="H319" s="40">
        <f t="shared" ref="H319:I319" si="145">H320</f>
        <v>4352.8999999999996</v>
      </c>
      <c r="I319" s="40">
        <f t="shared" si="145"/>
        <v>4352.8999999999996</v>
      </c>
      <c r="J319" s="1"/>
    </row>
    <row r="320" spans="1:10" ht="51" customHeight="1" outlineLevel="7">
      <c r="A320" s="18" t="s">
        <v>27</v>
      </c>
      <c r="B320" s="19" t="s">
        <v>150</v>
      </c>
      <c r="C320" s="20" t="s">
        <v>45</v>
      </c>
      <c r="D320" s="20" t="s">
        <v>81</v>
      </c>
      <c r="E320" s="20" t="s">
        <v>235</v>
      </c>
      <c r="F320" s="20" t="s">
        <v>28</v>
      </c>
      <c r="G320" s="40">
        <f>4352.9-15.04-15-0.55</f>
        <v>4322.3099999999995</v>
      </c>
      <c r="H320" s="40">
        <v>4352.8999999999996</v>
      </c>
      <c r="I320" s="40">
        <v>4352.8999999999996</v>
      </c>
      <c r="J320" s="1"/>
    </row>
    <row r="321" spans="1:10" ht="32.25" customHeight="1" outlineLevel="7">
      <c r="A321" s="18" t="s">
        <v>63</v>
      </c>
      <c r="B321" s="19" t="s">
        <v>150</v>
      </c>
      <c r="C321" s="20" t="s">
        <v>45</v>
      </c>
      <c r="D321" s="20" t="s">
        <v>81</v>
      </c>
      <c r="E321" s="20" t="s">
        <v>235</v>
      </c>
      <c r="F321" s="32">
        <v>800</v>
      </c>
      <c r="G321" s="40">
        <f>15+15+0.55</f>
        <v>30.55</v>
      </c>
      <c r="H321" s="40">
        <v>0</v>
      </c>
      <c r="I321" s="40">
        <v>0</v>
      </c>
      <c r="J321" s="1"/>
    </row>
    <row r="322" spans="1:10" ht="31.5" outlineLevel="6">
      <c r="A322" s="18" t="s">
        <v>236</v>
      </c>
      <c r="B322" s="19" t="s">
        <v>150</v>
      </c>
      <c r="C322" s="20" t="s">
        <v>45</v>
      </c>
      <c r="D322" s="20" t="s">
        <v>81</v>
      </c>
      <c r="E322" s="20" t="s">
        <v>237</v>
      </c>
      <c r="F322" s="20" t="s">
        <v>4</v>
      </c>
      <c r="G322" s="40">
        <f>G323</f>
        <v>37439.705000000002</v>
      </c>
      <c r="H322" s="40">
        <f t="shared" ref="H322:I322" si="146">H323</f>
        <v>12278.428</v>
      </c>
      <c r="I322" s="40">
        <f t="shared" si="146"/>
        <v>1172.328</v>
      </c>
      <c r="J322" s="1"/>
    </row>
    <row r="323" spans="1:10" ht="31.5" outlineLevel="7">
      <c r="A323" s="18" t="s">
        <v>63</v>
      </c>
      <c r="B323" s="19" t="s">
        <v>150</v>
      </c>
      <c r="C323" s="20" t="s">
        <v>45</v>
      </c>
      <c r="D323" s="20" t="s">
        <v>81</v>
      </c>
      <c r="E323" s="20" t="s">
        <v>237</v>
      </c>
      <c r="F323" s="20" t="s">
        <v>64</v>
      </c>
      <c r="G323" s="40">
        <f>3652.558-2003.9+12003.9+2787.147+21000</f>
        <v>37439.705000000002</v>
      </c>
      <c r="H323" s="40">
        <v>12278.428</v>
      </c>
      <c r="I323" s="40">
        <v>1172.328</v>
      </c>
      <c r="J323" s="1"/>
    </row>
    <row r="324" spans="1:10" ht="47.25" outlineLevel="3">
      <c r="A324" s="18" t="s">
        <v>238</v>
      </c>
      <c r="B324" s="19" t="s">
        <v>150</v>
      </c>
      <c r="C324" s="20" t="s">
        <v>45</v>
      </c>
      <c r="D324" s="20" t="s">
        <v>81</v>
      </c>
      <c r="E324" s="20" t="s">
        <v>239</v>
      </c>
      <c r="F324" s="20" t="s">
        <v>4</v>
      </c>
      <c r="G324" s="40">
        <f>G325+G332</f>
        <v>148004.4</v>
      </c>
      <c r="H324" s="40">
        <f>H325+H332</f>
        <v>63982.400000000001</v>
      </c>
      <c r="I324" s="40">
        <f>I325+I332</f>
        <v>66529.100000000006</v>
      </c>
      <c r="J324" s="1"/>
    </row>
    <row r="325" spans="1:10" ht="78.75" outlineLevel="4">
      <c r="A325" s="18" t="s">
        <v>200</v>
      </c>
      <c r="B325" s="19" t="s">
        <v>150</v>
      </c>
      <c r="C325" s="20" t="s">
        <v>45</v>
      </c>
      <c r="D325" s="20" t="s">
        <v>81</v>
      </c>
      <c r="E325" s="20" t="s">
        <v>240</v>
      </c>
      <c r="F325" s="20" t="s">
        <v>4</v>
      </c>
      <c r="G325" s="40">
        <f>G326</f>
        <v>63982.400000000001</v>
      </c>
      <c r="H325" s="40">
        <f t="shared" ref="H325:I325" si="147">H326</f>
        <v>63982.400000000001</v>
      </c>
      <c r="I325" s="40">
        <f t="shared" si="147"/>
        <v>66529.100000000006</v>
      </c>
      <c r="J325" s="1"/>
    </row>
    <row r="326" spans="1:10" ht="47.25" outlineLevel="5">
      <c r="A326" s="18" t="s">
        <v>241</v>
      </c>
      <c r="B326" s="19" t="s">
        <v>150</v>
      </c>
      <c r="C326" s="20" t="s">
        <v>45</v>
      </c>
      <c r="D326" s="20" t="s">
        <v>81</v>
      </c>
      <c r="E326" s="20" t="s">
        <v>242</v>
      </c>
      <c r="F326" s="20" t="s">
        <v>4</v>
      </c>
      <c r="G326" s="40">
        <f>G327+G330</f>
        <v>63982.400000000001</v>
      </c>
      <c r="H326" s="40">
        <f t="shared" ref="H326:I326" si="148">H327+H330</f>
        <v>63982.400000000001</v>
      </c>
      <c r="I326" s="40">
        <f t="shared" si="148"/>
        <v>66529.100000000006</v>
      </c>
      <c r="J326" s="1"/>
    </row>
    <row r="327" spans="1:10" ht="47.25" outlineLevel="6">
      <c r="A327" s="18" t="s">
        <v>243</v>
      </c>
      <c r="B327" s="19" t="s">
        <v>150</v>
      </c>
      <c r="C327" s="20" t="s">
        <v>45</v>
      </c>
      <c r="D327" s="20" t="s">
        <v>81</v>
      </c>
      <c r="E327" s="20" t="s">
        <v>244</v>
      </c>
      <c r="F327" s="20" t="s">
        <v>4</v>
      </c>
      <c r="G327" s="40">
        <f>G328+G329</f>
        <v>59876.1</v>
      </c>
      <c r="H327" s="40">
        <f t="shared" ref="H327:I327" si="149">H328+H329</f>
        <v>59876.1</v>
      </c>
      <c r="I327" s="40">
        <f t="shared" si="149"/>
        <v>66529.100000000006</v>
      </c>
      <c r="J327" s="1"/>
    </row>
    <row r="328" spans="1:10" ht="49.9" customHeight="1" outlineLevel="7">
      <c r="A328" s="18" t="s">
        <v>27</v>
      </c>
      <c r="B328" s="19" t="s">
        <v>150</v>
      </c>
      <c r="C328" s="20" t="s">
        <v>45</v>
      </c>
      <c r="D328" s="20" t="s">
        <v>81</v>
      </c>
      <c r="E328" s="20" t="s">
        <v>244</v>
      </c>
      <c r="F328" s="20" t="s">
        <v>28</v>
      </c>
      <c r="G328" s="40">
        <f>5960-5960</f>
        <v>0</v>
      </c>
      <c r="H328" s="40">
        <f>5960-5960</f>
        <v>0</v>
      </c>
      <c r="I328" s="40">
        <v>5960</v>
      </c>
      <c r="J328" s="1"/>
    </row>
    <row r="329" spans="1:10" ht="51.6" customHeight="1" outlineLevel="7">
      <c r="A329" s="18" t="s">
        <v>103</v>
      </c>
      <c r="B329" s="19" t="s">
        <v>150</v>
      </c>
      <c r="C329" s="20" t="s">
        <v>45</v>
      </c>
      <c r="D329" s="20" t="s">
        <v>81</v>
      </c>
      <c r="E329" s="20" t="s">
        <v>244</v>
      </c>
      <c r="F329" s="20" t="s">
        <v>104</v>
      </c>
      <c r="G329" s="40">
        <f>53916.1+5960</f>
        <v>59876.1</v>
      </c>
      <c r="H329" s="40">
        <f>53916.1+5960</f>
        <v>59876.1</v>
      </c>
      <c r="I329" s="40">
        <v>60569.1</v>
      </c>
      <c r="J329" s="1"/>
    </row>
    <row r="330" spans="1:10" ht="47.25" outlineLevel="6">
      <c r="A330" s="18" t="s">
        <v>243</v>
      </c>
      <c r="B330" s="19" t="s">
        <v>150</v>
      </c>
      <c r="C330" s="20" t="s">
        <v>45</v>
      </c>
      <c r="D330" s="20" t="s">
        <v>81</v>
      </c>
      <c r="E330" s="20" t="s">
        <v>245</v>
      </c>
      <c r="F330" s="20" t="s">
        <v>4</v>
      </c>
      <c r="G330" s="40">
        <f>G331</f>
        <v>4106.3</v>
      </c>
      <c r="H330" s="40">
        <f t="shared" ref="H330:I330" si="150">H331</f>
        <v>4106.3</v>
      </c>
      <c r="I330" s="40">
        <f t="shared" si="150"/>
        <v>0</v>
      </c>
      <c r="J330" s="1"/>
    </row>
    <row r="331" spans="1:10" ht="50.45" customHeight="1" outlineLevel="7">
      <c r="A331" s="18" t="s">
        <v>103</v>
      </c>
      <c r="B331" s="19" t="s">
        <v>150</v>
      </c>
      <c r="C331" s="20" t="s">
        <v>45</v>
      </c>
      <c r="D331" s="20" t="s">
        <v>81</v>
      </c>
      <c r="E331" s="20" t="s">
        <v>245</v>
      </c>
      <c r="F331" s="20" t="s">
        <v>104</v>
      </c>
      <c r="G331" s="40">
        <v>4106.3</v>
      </c>
      <c r="H331" s="40">
        <v>4106.3</v>
      </c>
      <c r="I331" s="40">
        <v>0</v>
      </c>
      <c r="J331" s="1"/>
    </row>
    <row r="332" spans="1:10" ht="33.75" customHeight="1" outlineLevel="7">
      <c r="A332" s="18" t="s">
        <v>656</v>
      </c>
      <c r="B332" s="19" t="s">
        <v>150</v>
      </c>
      <c r="C332" s="20" t="s">
        <v>45</v>
      </c>
      <c r="D332" s="20" t="s">
        <v>81</v>
      </c>
      <c r="E332" s="20" t="s">
        <v>660</v>
      </c>
      <c r="F332" s="20" t="s">
        <v>4</v>
      </c>
      <c r="G332" s="40">
        <f>G333</f>
        <v>84022</v>
      </c>
      <c r="H332" s="40">
        <f t="shared" ref="H332:I334" si="151">H333</f>
        <v>0</v>
      </c>
      <c r="I332" s="40">
        <f t="shared" si="151"/>
        <v>0</v>
      </c>
      <c r="J332" s="1"/>
    </row>
    <row r="333" spans="1:10" ht="50.45" customHeight="1" outlineLevel="7">
      <c r="A333" s="18" t="s">
        <v>657</v>
      </c>
      <c r="B333" s="19" t="s">
        <v>150</v>
      </c>
      <c r="C333" s="20" t="s">
        <v>45</v>
      </c>
      <c r="D333" s="20" t="s">
        <v>81</v>
      </c>
      <c r="E333" s="20" t="s">
        <v>661</v>
      </c>
      <c r="F333" s="20" t="s">
        <v>4</v>
      </c>
      <c r="G333" s="40">
        <f>G334+G336</f>
        <v>84022</v>
      </c>
      <c r="H333" s="40">
        <f t="shared" si="151"/>
        <v>0</v>
      </c>
      <c r="I333" s="40">
        <f t="shared" si="151"/>
        <v>0</v>
      </c>
      <c r="J333" s="1"/>
    </row>
    <row r="334" spans="1:10" ht="66" customHeight="1" outlineLevel="7">
      <c r="A334" s="18" t="s">
        <v>658</v>
      </c>
      <c r="B334" s="19" t="s">
        <v>150</v>
      </c>
      <c r="C334" s="20" t="s">
        <v>45</v>
      </c>
      <c r="D334" s="20" t="s">
        <v>81</v>
      </c>
      <c r="E334" s="20" t="s">
        <v>662</v>
      </c>
      <c r="F334" s="20" t="s">
        <v>4</v>
      </c>
      <c r="G334" s="40">
        <f>G335</f>
        <v>79820.399999999994</v>
      </c>
      <c r="H334" s="40">
        <f t="shared" si="151"/>
        <v>0</v>
      </c>
      <c r="I334" s="40">
        <f t="shared" si="151"/>
        <v>0</v>
      </c>
      <c r="J334" s="1"/>
    </row>
    <row r="335" spans="1:10" ht="68.25" customHeight="1" outlineLevel="7">
      <c r="A335" s="18" t="s">
        <v>659</v>
      </c>
      <c r="B335" s="19" t="s">
        <v>150</v>
      </c>
      <c r="C335" s="20" t="s">
        <v>45</v>
      </c>
      <c r="D335" s="20" t="s">
        <v>81</v>
      </c>
      <c r="E335" s="20" t="s">
        <v>662</v>
      </c>
      <c r="F335" s="20" t="s">
        <v>104</v>
      </c>
      <c r="G335" s="40">
        <v>79820.399999999994</v>
      </c>
      <c r="H335" s="40">
        <v>0</v>
      </c>
      <c r="I335" s="40">
        <v>0</v>
      </c>
      <c r="J335" s="1"/>
    </row>
    <row r="336" spans="1:10" ht="68.25" customHeight="1" outlineLevel="7">
      <c r="A336" s="18" t="s">
        <v>658</v>
      </c>
      <c r="B336" s="19" t="s">
        <v>150</v>
      </c>
      <c r="C336" s="20" t="s">
        <v>45</v>
      </c>
      <c r="D336" s="20" t="s">
        <v>81</v>
      </c>
      <c r="E336" s="20" t="s">
        <v>693</v>
      </c>
      <c r="F336" s="20" t="s">
        <v>4</v>
      </c>
      <c r="G336" s="40">
        <f>G337</f>
        <v>4201.6000000000004</v>
      </c>
      <c r="H336" s="40">
        <f t="shared" ref="H336:I336" si="152">H337</f>
        <v>0</v>
      </c>
      <c r="I336" s="40">
        <f t="shared" si="152"/>
        <v>0</v>
      </c>
      <c r="J336" s="1"/>
    </row>
    <row r="337" spans="1:10" ht="63.75" customHeight="1" outlineLevel="7">
      <c r="A337" s="18" t="s">
        <v>659</v>
      </c>
      <c r="B337" s="19" t="s">
        <v>150</v>
      </c>
      <c r="C337" s="20" t="s">
        <v>45</v>
      </c>
      <c r="D337" s="20" t="s">
        <v>81</v>
      </c>
      <c r="E337" s="20" t="s">
        <v>693</v>
      </c>
      <c r="F337" s="20" t="s">
        <v>104</v>
      </c>
      <c r="G337" s="40">
        <v>4201.6000000000004</v>
      </c>
      <c r="H337" s="40">
        <v>0</v>
      </c>
      <c r="I337" s="40">
        <v>0</v>
      </c>
      <c r="J337" s="1"/>
    </row>
    <row r="338" spans="1:10" ht="31.5" outlineLevel="2">
      <c r="A338" s="15" t="s">
        <v>246</v>
      </c>
      <c r="B338" s="16" t="s">
        <v>150</v>
      </c>
      <c r="C338" s="17" t="s">
        <v>45</v>
      </c>
      <c r="D338" s="17" t="s">
        <v>45</v>
      </c>
      <c r="E338" s="17" t="s">
        <v>3</v>
      </c>
      <c r="F338" s="17" t="s">
        <v>4</v>
      </c>
      <c r="G338" s="39">
        <f>G339+G352</f>
        <v>19719.805899999999</v>
      </c>
      <c r="H338" s="39">
        <f t="shared" ref="H338:I340" si="153">H339</f>
        <v>18534.8</v>
      </c>
      <c r="I338" s="39">
        <f t="shared" si="153"/>
        <v>18534.8</v>
      </c>
      <c r="J338" s="1"/>
    </row>
    <row r="339" spans="1:10" ht="63" outlineLevel="3">
      <c r="A339" s="18" t="s">
        <v>132</v>
      </c>
      <c r="B339" s="19" t="s">
        <v>150</v>
      </c>
      <c r="C339" s="20" t="s">
        <v>45</v>
      </c>
      <c r="D339" s="20" t="s">
        <v>45</v>
      </c>
      <c r="E339" s="20" t="s">
        <v>133</v>
      </c>
      <c r="F339" s="20" t="s">
        <v>4</v>
      </c>
      <c r="G339" s="40">
        <f>G340</f>
        <v>19539.205900000001</v>
      </c>
      <c r="H339" s="40">
        <f t="shared" si="153"/>
        <v>18534.8</v>
      </c>
      <c r="I339" s="40">
        <f t="shared" si="153"/>
        <v>18534.8</v>
      </c>
      <c r="J339" s="1"/>
    </row>
    <row r="340" spans="1:10" ht="31.5" outlineLevel="4">
      <c r="A340" s="18" t="s">
        <v>11</v>
      </c>
      <c r="B340" s="19" t="s">
        <v>150</v>
      </c>
      <c r="C340" s="20" t="s">
        <v>45</v>
      </c>
      <c r="D340" s="20" t="s">
        <v>45</v>
      </c>
      <c r="E340" s="20" t="s">
        <v>134</v>
      </c>
      <c r="F340" s="20" t="s">
        <v>4</v>
      </c>
      <c r="G340" s="40">
        <f>G341</f>
        <v>19539.205900000001</v>
      </c>
      <c r="H340" s="40">
        <f t="shared" si="153"/>
        <v>18534.8</v>
      </c>
      <c r="I340" s="40">
        <f t="shared" si="153"/>
        <v>18534.8</v>
      </c>
      <c r="J340" s="1"/>
    </row>
    <row r="341" spans="1:10" ht="63" outlineLevel="5">
      <c r="A341" s="18" t="s">
        <v>69</v>
      </c>
      <c r="B341" s="19" t="s">
        <v>150</v>
      </c>
      <c r="C341" s="20" t="s">
        <v>45</v>
      </c>
      <c r="D341" s="20" t="s">
        <v>45</v>
      </c>
      <c r="E341" s="20" t="s">
        <v>135</v>
      </c>
      <c r="F341" s="20" t="s">
        <v>4</v>
      </c>
      <c r="G341" s="40">
        <f>G342+G345+G348</f>
        <v>19539.205900000001</v>
      </c>
      <c r="H341" s="40">
        <f t="shared" ref="H341:I341" si="154">H342+H345+H348</f>
        <v>18534.8</v>
      </c>
      <c r="I341" s="40">
        <f t="shared" si="154"/>
        <v>18534.8</v>
      </c>
      <c r="J341" s="1"/>
    </row>
    <row r="342" spans="1:10" ht="47.25" outlineLevel="6">
      <c r="A342" s="18" t="s">
        <v>21</v>
      </c>
      <c r="B342" s="19" t="s">
        <v>150</v>
      </c>
      <c r="C342" s="20" t="s">
        <v>45</v>
      </c>
      <c r="D342" s="20" t="s">
        <v>45</v>
      </c>
      <c r="E342" s="20" t="s">
        <v>136</v>
      </c>
      <c r="F342" s="20" t="s">
        <v>4</v>
      </c>
      <c r="G342" s="40">
        <f>G343+G344</f>
        <v>7557.4000000000005</v>
      </c>
      <c r="H342" s="40">
        <f t="shared" ref="H342:I342" si="155">H343+H344</f>
        <v>6374.8</v>
      </c>
      <c r="I342" s="40">
        <f t="shared" si="155"/>
        <v>6374.8</v>
      </c>
      <c r="J342" s="1"/>
    </row>
    <row r="343" spans="1:10" ht="128.25" customHeight="1" outlineLevel="7">
      <c r="A343" s="18" t="s">
        <v>17</v>
      </c>
      <c r="B343" s="19" t="s">
        <v>150</v>
      </c>
      <c r="C343" s="20" t="s">
        <v>45</v>
      </c>
      <c r="D343" s="20" t="s">
        <v>45</v>
      </c>
      <c r="E343" s="20" t="s">
        <v>136</v>
      </c>
      <c r="F343" s="20" t="s">
        <v>18</v>
      </c>
      <c r="G343" s="40">
        <f>6017.5+216.6+966</f>
        <v>7200.1</v>
      </c>
      <c r="H343" s="40">
        <v>6017.5</v>
      </c>
      <c r="I343" s="40">
        <v>6017.5</v>
      </c>
      <c r="J343" s="1"/>
    </row>
    <row r="344" spans="1:10" ht="63" outlineLevel="7">
      <c r="A344" s="18" t="s">
        <v>27</v>
      </c>
      <c r="B344" s="19" t="s">
        <v>150</v>
      </c>
      <c r="C344" s="20" t="s">
        <v>45</v>
      </c>
      <c r="D344" s="20" t="s">
        <v>45</v>
      </c>
      <c r="E344" s="20" t="s">
        <v>136</v>
      </c>
      <c r="F344" s="20" t="s">
        <v>28</v>
      </c>
      <c r="G344" s="40">
        <v>357.3</v>
      </c>
      <c r="H344" s="40">
        <v>357.3</v>
      </c>
      <c r="I344" s="40">
        <v>357.3</v>
      </c>
      <c r="J344" s="1"/>
    </row>
    <row r="345" spans="1:10" ht="47.25" outlineLevel="6">
      <c r="A345" s="18" t="s">
        <v>59</v>
      </c>
      <c r="B345" s="19" t="s">
        <v>150</v>
      </c>
      <c r="C345" s="20" t="s">
        <v>45</v>
      </c>
      <c r="D345" s="20" t="s">
        <v>45</v>
      </c>
      <c r="E345" s="20" t="s">
        <v>247</v>
      </c>
      <c r="F345" s="20" t="s">
        <v>4</v>
      </c>
      <c r="G345" s="40">
        <f>G346+G347</f>
        <v>6068.3</v>
      </c>
      <c r="H345" s="40">
        <f t="shared" ref="H345:I345" si="156">H346+H347</f>
        <v>5789.7</v>
      </c>
      <c r="I345" s="40">
        <f t="shared" si="156"/>
        <v>5789.7</v>
      </c>
      <c r="J345" s="1"/>
    </row>
    <row r="346" spans="1:10" ht="126" customHeight="1" outlineLevel="7">
      <c r="A346" s="18" t="s">
        <v>17</v>
      </c>
      <c r="B346" s="19" t="s">
        <v>150</v>
      </c>
      <c r="C346" s="20" t="s">
        <v>45</v>
      </c>
      <c r="D346" s="20" t="s">
        <v>45</v>
      </c>
      <c r="E346" s="20" t="s">
        <v>247</v>
      </c>
      <c r="F346" s="20" t="s">
        <v>18</v>
      </c>
      <c r="G346" s="40">
        <f>5377.9+193.6+85</f>
        <v>5656.5</v>
      </c>
      <c r="H346" s="40">
        <v>5377.9</v>
      </c>
      <c r="I346" s="40">
        <v>5377.9</v>
      </c>
      <c r="J346" s="1"/>
    </row>
    <row r="347" spans="1:10" ht="63" outlineLevel="7">
      <c r="A347" s="18" t="s">
        <v>27</v>
      </c>
      <c r="B347" s="19" t="s">
        <v>150</v>
      </c>
      <c r="C347" s="20" t="s">
        <v>45</v>
      </c>
      <c r="D347" s="20" t="s">
        <v>45</v>
      </c>
      <c r="E347" s="20" t="s">
        <v>247</v>
      </c>
      <c r="F347" s="20" t="s">
        <v>28</v>
      </c>
      <c r="G347" s="40">
        <v>411.8</v>
      </c>
      <c r="H347" s="40">
        <v>411.8</v>
      </c>
      <c r="I347" s="40">
        <v>411.8</v>
      </c>
      <c r="J347" s="1"/>
    </row>
    <row r="348" spans="1:10" ht="63" outlineLevel="6">
      <c r="A348" s="18" t="s">
        <v>248</v>
      </c>
      <c r="B348" s="19" t="s">
        <v>150</v>
      </c>
      <c r="C348" s="20" t="s">
        <v>45</v>
      </c>
      <c r="D348" s="20" t="s">
        <v>45</v>
      </c>
      <c r="E348" s="20" t="s">
        <v>249</v>
      </c>
      <c r="F348" s="20" t="s">
        <v>4</v>
      </c>
      <c r="G348" s="40">
        <f>G349+G350+G351</f>
        <v>5913.5059000000001</v>
      </c>
      <c r="H348" s="40">
        <f t="shared" ref="H348:I348" si="157">H349+H350+H351</f>
        <v>6370.3</v>
      </c>
      <c r="I348" s="40">
        <f t="shared" si="157"/>
        <v>6370.3</v>
      </c>
      <c r="J348" s="1"/>
    </row>
    <row r="349" spans="1:10" ht="126" customHeight="1" outlineLevel="7">
      <c r="A349" s="18" t="s">
        <v>17</v>
      </c>
      <c r="B349" s="19" t="s">
        <v>150</v>
      </c>
      <c r="C349" s="20" t="s">
        <v>45</v>
      </c>
      <c r="D349" s="20" t="s">
        <v>45</v>
      </c>
      <c r="E349" s="20" t="s">
        <v>249</v>
      </c>
      <c r="F349" s="20" t="s">
        <v>18</v>
      </c>
      <c r="G349" s="40">
        <f>5336.5+191.8-292.3+79.7</f>
        <v>5315.7</v>
      </c>
      <c r="H349" s="40">
        <v>5336.5</v>
      </c>
      <c r="I349" s="40">
        <v>5336.5</v>
      </c>
      <c r="J349" s="1"/>
    </row>
    <row r="350" spans="1:10" ht="63" outlineLevel="7">
      <c r="A350" s="18" t="s">
        <v>27</v>
      </c>
      <c r="B350" s="19" t="s">
        <v>150</v>
      </c>
      <c r="C350" s="20" t="s">
        <v>45</v>
      </c>
      <c r="D350" s="20" t="s">
        <v>45</v>
      </c>
      <c r="E350" s="20" t="s">
        <v>249</v>
      </c>
      <c r="F350" s="20" t="s">
        <v>28</v>
      </c>
      <c r="G350" s="40">
        <f>926.5-0.1-80.7-6-108.426-108.3461-17.122-22.1-53.2-30</f>
        <v>500.50589999999988</v>
      </c>
      <c r="H350" s="40">
        <v>926.5</v>
      </c>
      <c r="I350" s="40">
        <v>926.5</v>
      </c>
      <c r="J350" s="1"/>
    </row>
    <row r="351" spans="1:10" ht="31.5" outlineLevel="7">
      <c r="A351" s="18" t="s">
        <v>63</v>
      </c>
      <c r="B351" s="19" t="s">
        <v>150</v>
      </c>
      <c r="C351" s="20" t="s">
        <v>45</v>
      </c>
      <c r="D351" s="20" t="s">
        <v>45</v>
      </c>
      <c r="E351" s="20" t="s">
        <v>249</v>
      </c>
      <c r="F351" s="20" t="s">
        <v>64</v>
      </c>
      <c r="G351" s="40">
        <f>107.3-10</f>
        <v>97.3</v>
      </c>
      <c r="H351" s="40">
        <v>107.3</v>
      </c>
      <c r="I351" s="40">
        <v>107.3</v>
      </c>
      <c r="J351" s="1"/>
    </row>
    <row r="352" spans="1:10" ht="31.5" outlineLevel="7">
      <c r="A352" s="18" t="s">
        <v>140</v>
      </c>
      <c r="B352" s="19" t="s">
        <v>150</v>
      </c>
      <c r="C352" s="20" t="s">
        <v>45</v>
      </c>
      <c r="D352" s="20" t="s">
        <v>45</v>
      </c>
      <c r="E352" s="20" t="s">
        <v>141</v>
      </c>
      <c r="F352" s="20" t="s">
        <v>4</v>
      </c>
      <c r="G352" s="40">
        <f t="shared" ref="G352:G353" si="158">G353</f>
        <v>180.6</v>
      </c>
      <c r="H352" s="40">
        <f t="shared" ref="H352:H353" si="159">H353</f>
        <v>0</v>
      </c>
      <c r="I352" s="40">
        <f t="shared" ref="I352:I353" si="160">I353</f>
        <v>0</v>
      </c>
      <c r="J352" s="1"/>
    </row>
    <row r="353" spans="1:10" ht="15.75" outlineLevel="7">
      <c r="A353" s="18" t="s">
        <v>142</v>
      </c>
      <c r="B353" s="19" t="s">
        <v>150</v>
      </c>
      <c r="C353" s="20" t="s">
        <v>45</v>
      </c>
      <c r="D353" s="20" t="s">
        <v>45</v>
      </c>
      <c r="E353" s="20" t="s">
        <v>143</v>
      </c>
      <c r="F353" s="20" t="s">
        <v>4</v>
      </c>
      <c r="G353" s="40">
        <f t="shared" si="158"/>
        <v>180.6</v>
      </c>
      <c r="H353" s="40">
        <f t="shared" si="159"/>
        <v>0</v>
      </c>
      <c r="I353" s="40">
        <f t="shared" si="160"/>
        <v>0</v>
      </c>
      <c r="J353" s="1"/>
    </row>
    <row r="354" spans="1:10" ht="94.5" outlineLevel="7">
      <c r="A354" s="21" t="s">
        <v>769</v>
      </c>
      <c r="B354" s="19" t="s">
        <v>150</v>
      </c>
      <c r="C354" s="20" t="s">
        <v>45</v>
      </c>
      <c r="D354" s="20" t="s">
        <v>45</v>
      </c>
      <c r="E354" s="23">
        <v>9990055491</v>
      </c>
      <c r="F354" s="19" t="s">
        <v>4</v>
      </c>
      <c r="G354" s="40">
        <f>G355</f>
        <v>180.6</v>
      </c>
      <c r="H354" s="40">
        <f>H355</f>
        <v>0</v>
      </c>
      <c r="I354" s="40">
        <f>I355</f>
        <v>0</v>
      </c>
      <c r="J354" s="1"/>
    </row>
    <row r="355" spans="1:10" ht="128.25" customHeight="1" outlineLevel="7">
      <c r="A355" s="18" t="s">
        <v>17</v>
      </c>
      <c r="B355" s="19" t="s">
        <v>150</v>
      </c>
      <c r="C355" s="20" t="s">
        <v>45</v>
      </c>
      <c r="D355" s="20" t="s">
        <v>45</v>
      </c>
      <c r="E355" s="23">
        <v>9990055491</v>
      </c>
      <c r="F355" s="19" t="s">
        <v>18</v>
      </c>
      <c r="G355" s="40">
        <v>180.6</v>
      </c>
      <c r="H355" s="40">
        <v>0</v>
      </c>
      <c r="I355" s="40">
        <v>0</v>
      </c>
      <c r="J355" s="1"/>
    </row>
    <row r="356" spans="1:10" ht="15.75" outlineLevel="1">
      <c r="A356" s="12" t="s">
        <v>105</v>
      </c>
      <c r="B356" s="13" t="s">
        <v>150</v>
      </c>
      <c r="C356" s="14" t="s">
        <v>106</v>
      </c>
      <c r="D356" s="14" t="s">
        <v>2</v>
      </c>
      <c r="E356" s="14" t="s">
        <v>3</v>
      </c>
      <c r="F356" s="14" t="s">
        <v>4</v>
      </c>
      <c r="G356" s="38">
        <f>G357</f>
        <v>16872.440000000002</v>
      </c>
      <c r="H356" s="38">
        <f t="shared" ref="H356:I358" si="161">H357</f>
        <v>16166.8</v>
      </c>
      <c r="I356" s="38">
        <f t="shared" si="161"/>
        <v>16166.8</v>
      </c>
      <c r="J356" s="1"/>
    </row>
    <row r="357" spans="1:10" ht="21" customHeight="1" outlineLevel="2">
      <c r="A357" s="15" t="s">
        <v>110</v>
      </c>
      <c r="B357" s="16" t="s">
        <v>150</v>
      </c>
      <c r="C357" s="17" t="s">
        <v>106</v>
      </c>
      <c r="D357" s="17" t="s">
        <v>81</v>
      </c>
      <c r="E357" s="17" t="s">
        <v>3</v>
      </c>
      <c r="F357" s="17" t="s">
        <v>4</v>
      </c>
      <c r="G357" s="39">
        <f>G358</f>
        <v>16872.440000000002</v>
      </c>
      <c r="H357" s="39">
        <f t="shared" si="161"/>
        <v>16166.8</v>
      </c>
      <c r="I357" s="39">
        <f t="shared" si="161"/>
        <v>16166.8</v>
      </c>
      <c r="J357" s="1"/>
    </row>
    <row r="358" spans="1:10" ht="63" outlineLevel="3">
      <c r="A358" s="18" t="s">
        <v>132</v>
      </c>
      <c r="B358" s="19" t="s">
        <v>150</v>
      </c>
      <c r="C358" s="20" t="s">
        <v>106</v>
      </c>
      <c r="D358" s="20" t="s">
        <v>81</v>
      </c>
      <c r="E358" s="20" t="s">
        <v>133</v>
      </c>
      <c r="F358" s="20" t="s">
        <v>4</v>
      </c>
      <c r="G358" s="40">
        <f>G359</f>
        <v>16872.440000000002</v>
      </c>
      <c r="H358" s="40">
        <f t="shared" si="161"/>
        <v>16166.8</v>
      </c>
      <c r="I358" s="40">
        <f t="shared" si="161"/>
        <v>16166.8</v>
      </c>
      <c r="J358" s="1"/>
    </row>
    <row r="359" spans="1:10" ht="31.5" outlineLevel="4">
      <c r="A359" s="18" t="s">
        <v>11</v>
      </c>
      <c r="B359" s="19" t="s">
        <v>150</v>
      </c>
      <c r="C359" s="20" t="s">
        <v>106</v>
      </c>
      <c r="D359" s="20" t="s">
        <v>81</v>
      </c>
      <c r="E359" s="20" t="s">
        <v>134</v>
      </c>
      <c r="F359" s="20" t="s">
        <v>4</v>
      </c>
      <c r="G359" s="40">
        <f>G360+G363</f>
        <v>16872.440000000002</v>
      </c>
      <c r="H359" s="40">
        <f t="shared" ref="H359:I359" si="162">H360+H363</f>
        <v>16166.8</v>
      </c>
      <c r="I359" s="40">
        <f t="shared" si="162"/>
        <v>16166.8</v>
      </c>
      <c r="J359" s="1"/>
    </row>
    <row r="360" spans="1:10" ht="63" outlineLevel="5">
      <c r="A360" s="18" t="s">
        <v>69</v>
      </c>
      <c r="B360" s="19" t="s">
        <v>150</v>
      </c>
      <c r="C360" s="20" t="s">
        <v>106</v>
      </c>
      <c r="D360" s="20" t="s">
        <v>81</v>
      </c>
      <c r="E360" s="20" t="s">
        <v>135</v>
      </c>
      <c r="F360" s="20" t="s">
        <v>4</v>
      </c>
      <c r="G360" s="40">
        <f>G361</f>
        <v>87.3700000000008</v>
      </c>
      <c r="H360" s="40">
        <f t="shared" ref="H360:I360" si="163">H361</f>
        <v>0</v>
      </c>
      <c r="I360" s="40">
        <f t="shared" si="163"/>
        <v>0</v>
      </c>
      <c r="J360" s="1"/>
    </row>
    <row r="361" spans="1:10" ht="126" outlineLevel="6">
      <c r="A361" s="18" t="s">
        <v>250</v>
      </c>
      <c r="B361" s="19" t="s">
        <v>150</v>
      </c>
      <c r="C361" s="20" t="s">
        <v>106</v>
      </c>
      <c r="D361" s="20" t="s">
        <v>81</v>
      </c>
      <c r="E361" s="20" t="s">
        <v>251</v>
      </c>
      <c r="F361" s="20" t="s">
        <v>4</v>
      </c>
      <c r="G361" s="40">
        <f>G362</f>
        <v>87.3700000000008</v>
      </c>
      <c r="H361" s="40">
        <f t="shared" ref="H361:I361" si="164">H362</f>
        <v>0</v>
      </c>
      <c r="I361" s="40">
        <f t="shared" si="164"/>
        <v>0</v>
      </c>
      <c r="J361" s="1"/>
    </row>
    <row r="362" spans="1:10" ht="31.5" outlineLevel="7">
      <c r="A362" s="18" t="s">
        <v>42</v>
      </c>
      <c r="B362" s="19" t="s">
        <v>150</v>
      </c>
      <c r="C362" s="20" t="s">
        <v>106</v>
      </c>
      <c r="D362" s="20" t="s">
        <v>81</v>
      </c>
      <c r="E362" s="20" t="s">
        <v>251</v>
      </c>
      <c r="F362" s="20" t="s">
        <v>43</v>
      </c>
      <c r="G362" s="40">
        <f>8387.37-7500-800</f>
        <v>87.3700000000008</v>
      </c>
      <c r="H362" s="40">
        <v>0</v>
      </c>
      <c r="I362" s="40">
        <v>0</v>
      </c>
      <c r="J362" s="1"/>
    </row>
    <row r="363" spans="1:10" ht="78.75" outlineLevel="5">
      <c r="A363" s="18" t="s">
        <v>252</v>
      </c>
      <c r="B363" s="19" t="s">
        <v>150</v>
      </c>
      <c r="C363" s="20" t="s">
        <v>106</v>
      </c>
      <c r="D363" s="20" t="s">
        <v>81</v>
      </c>
      <c r="E363" s="20" t="s">
        <v>253</v>
      </c>
      <c r="F363" s="20" t="s">
        <v>4</v>
      </c>
      <c r="G363" s="40">
        <f>G364+G366+G368+G370</f>
        <v>16785.07</v>
      </c>
      <c r="H363" s="40">
        <f t="shared" ref="H363:I363" si="165">H364+H366+H368+H370</f>
        <v>16166.8</v>
      </c>
      <c r="I363" s="40">
        <f t="shared" si="165"/>
        <v>16166.8</v>
      </c>
      <c r="J363" s="1"/>
    </row>
    <row r="364" spans="1:10" ht="78.75" outlineLevel="6">
      <c r="A364" s="18" t="s">
        <v>254</v>
      </c>
      <c r="B364" s="19" t="s">
        <v>150</v>
      </c>
      <c r="C364" s="20" t="s">
        <v>106</v>
      </c>
      <c r="D364" s="20" t="s">
        <v>81</v>
      </c>
      <c r="E364" s="20" t="s">
        <v>255</v>
      </c>
      <c r="F364" s="20" t="s">
        <v>4</v>
      </c>
      <c r="G364" s="40">
        <f>G365</f>
        <v>3885.05</v>
      </c>
      <c r="H364" s="40">
        <f t="shared" ref="H364:I364" si="166">H365</f>
        <v>3988</v>
      </c>
      <c r="I364" s="40">
        <f t="shared" si="166"/>
        <v>3988</v>
      </c>
      <c r="J364" s="1"/>
    </row>
    <row r="365" spans="1:10" ht="31.5" outlineLevel="7">
      <c r="A365" s="18" t="s">
        <v>42</v>
      </c>
      <c r="B365" s="19" t="s">
        <v>150</v>
      </c>
      <c r="C365" s="20" t="s">
        <v>106</v>
      </c>
      <c r="D365" s="20" t="s">
        <v>81</v>
      </c>
      <c r="E365" s="20" t="s">
        <v>255</v>
      </c>
      <c r="F365" s="20" t="s">
        <v>43</v>
      </c>
      <c r="G365" s="40">
        <f>3988-66.95-36</f>
        <v>3885.05</v>
      </c>
      <c r="H365" s="40">
        <v>3988</v>
      </c>
      <c r="I365" s="40">
        <v>3988</v>
      </c>
      <c r="J365" s="1"/>
    </row>
    <row r="366" spans="1:10" ht="126" outlineLevel="6">
      <c r="A366" s="18" t="s">
        <v>256</v>
      </c>
      <c r="B366" s="19" t="s">
        <v>150</v>
      </c>
      <c r="C366" s="20" t="s">
        <v>106</v>
      </c>
      <c r="D366" s="20" t="s">
        <v>81</v>
      </c>
      <c r="E366" s="20" t="s">
        <v>257</v>
      </c>
      <c r="F366" s="20" t="s">
        <v>4</v>
      </c>
      <c r="G366" s="40">
        <f>G367</f>
        <v>1600.5</v>
      </c>
      <c r="H366" s="40">
        <f t="shared" ref="H366:I366" si="167">H367</f>
        <v>1600.5</v>
      </c>
      <c r="I366" s="40">
        <f t="shared" si="167"/>
        <v>1600.5</v>
      </c>
      <c r="J366" s="1"/>
    </row>
    <row r="367" spans="1:10" ht="31.5" outlineLevel="7">
      <c r="A367" s="18" t="s">
        <v>42</v>
      </c>
      <c r="B367" s="19" t="s">
        <v>150</v>
      </c>
      <c r="C367" s="20" t="s">
        <v>106</v>
      </c>
      <c r="D367" s="20" t="s">
        <v>81</v>
      </c>
      <c r="E367" s="20" t="s">
        <v>257</v>
      </c>
      <c r="F367" s="20" t="s">
        <v>43</v>
      </c>
      <c r="G367" s="40">
        <v>1600.5</v>
      </c>
      <c r="H367" s="40">
        <v>1600.5</v>
      </c>
      <c r="I367" s="40">
        <v>1600.5</v>
      </c>
      <c r="J367" s="1"/>
    </row>
    <row r="368" spans="1:10" ht="68.25" customHeight="1" outlineLevel="6">
      <c r="A368" s="18" t="s">
        <v>258</v>
      </c>
      <c r="B368" s="19" t="s">
        <v>150</v>
      </c>
      <c r="C368" s="20" t="s">
        <v>106</v>
      </c>
      <c r="D368" s="20" t="s">
        <v>81</v>
      </c>
      <c r="E368" s="20" t="s">
        <v>259</v>
      </c>
      <c r="F368" s="20" t="s">
        <v>4</v>
      </c>
      <c r="G368" s="40">
        <f>G369</f>
        <v>10734.519999999999</v>
      </c>
      <c r="H368" s="40">
        <f t="shared" ref="H368:I368" si="168">H369</f>
        <v>10049.299999999999</v>
      </c>
      <c r="I368" s="40">
        <f t="shared" si="168"/>
        <v>10049.299999999999</v>
      </c>
      <c r="J368" s="1"/>
    </row>
    <row r="369" spans="1:10" ht="31.5" outlineLevel="7">
      <c r="A369" s="18" t="s">
        <v>42</v>
      </c>
      <c r="B369" s="19" t="s">
        <v>150</v>
      </c>
      <c r="C369" s="20" t="s">
        <v>106</v>
      </c>
      <c r="D369" s="20" t="s">
        <v>81</v>
      </c>
      <c r="E369" s="20" t="s">
        <v>259</v>
      </c>
      <c r="F369" s="20" t="s">
        <v>43</v>
      </c>
      <c r="G369" s="40">
        <f>10049.3+685.22</f>
        <v>10734.519999999999</v>
      </c>
      <c r="H369" s="40">
        <v>10049.299999999999</v>
      </c>
      <c r="I369" s="40">
        <v>10049.299999999999</v>
      </c>
      <c r="J369" s="1"/>
    </row>
    <row r="370" spans="1:10" ht="78.75" outlineLevel="6">
      <c r="A370" s="18" t="s">
        <v>260</v>
      </c>
      <c r="B370" s="19" t="s">
        <v>150</v>
      </c>
      <c r="C370" s="20" t="s">
        <v>106</v>
      </c>
      <c r="D370" s="20" t="s">
        <v>81</v>
      </c>
      <c r="E370" s="20" t="s">
        <v>261</v>
      </c>
      <c r="F370" s="20" t="s">
        <v>4</v>
      </c>
      <c r="G370" s="40">
        <f>G371</f>
        <v>565</v>
      </c>
      <c r="H370" s="40">
        <f t="shared" ref="H370:I370" si="169">H371</f>
        <v>529</v>
      </c>
      <c r="I370" s="40">
        <f t="shared" si="169"/>
        <v>529</v>
      </c>
      <c r="J370" s="1"/>
    </row>
    <row r="371" spans="1:10" ht="31.5" outlineLevel="7">
      <c r="A371" s="18" t="s">
        <v>42</v>
      </c>
      <c r="B371" s="19" t="s">
        <v>150</v>
      </c>
      <c r="C371" s="20" t="s">
        <v>106</v>
      </c>
      <c r="D371" s="20" t="s">
        <v>81</v>
      </c>
      <c r="E371" s="20" t="s">
        <v>261</v>
      </c>
      <c r="F371" s="20" t="s">
        <v>43</v>
      </c>
      <c r="G371" s="40">
        <f>529+36</f>
        <v>565</v>
      </c>
      <c r="H371" s="40">
        <v>529</v>
      </c>
      <c r="I371" s="40">
        <v>529</v>
      </c>
      <c r="J371" s="1"/>
    </row>
    <row r="372" spans="1:10" ht="31.5">
      <c r="A372" s="12" t="s">
        <v>262</v>
      </c>
      <c r="B372" s="13" t="s">
        <v>263</v>
      </c>
      <c r="C372" s="14" t="s">
        <v>2</v>
      </c>
      <c r="D372" s="14" t="s">
        <v>2</v>
      </c>
      <c r="E372" s="14" t="s">
        <v>3</v>
      </c>
      <c r="F372" s="14" t="s">
        <v>4</v>
      </c>
      <c r="G372" s="38">
        <f>G373+G432</f>
        <v>204631.44864999998</v>
      </c>
      <c r="H372" s="38">
        <f t="shared" ref="H372:I372" si="170">H373+H432</f>
        <v>113242.879</v>
      </c>
      <c r="I372" s="38">
        <f t="shared" si="170"/>
        <v>100323.97899999999</v>
      </c>
      <c r="J372" s="1"/>
    </row>
    <row r="373" spans="1:10" ht="31.5" outlineLevel="1">
      <c r="A373" s="12" t="s">
        <v>198</v>
      </c>
      <c r="B373" s="13" t="s">
        <v>263</v>
      </c>
      <c r="C373" s="14" t="s">
        <v>45</v>
      </c>
      <c r="D373" s="14" t="s">
        <v>2</v>
      </c>
      <c r="E373" s="14" t="s">
        <v>3</v>
      </c>
      <c r="F373" s="14" t="s">
        <v>4</v>
      </c>
      <c r="G373" s="38">
        <f>G374+G413</f>
        <v>151261.25864999997</v>
      </c>
      <c r="H373" s="38">
        <f t="shared" ref="H373:I373" si="171">H374+H413</f>
        <v>56951.6</v>
      </c>
      <c r="I373" s="38">
        <f t="shared" si="171"/>
        <v>50780.6</v>
      </c>
      <c r="J373" s="1"/>
    </row>
    <row r="374" spans="1:10" ht="15.75" outlineLevel="2">
      <c r="A374" s="15" t="s">
        <v>264</v>
      </c>
      <c r="B374" s="16" t="s">
        <v>263</v>
      </c>
      <c r="C374" s="17" t="s">
        <v>45</v>
      </c>
      <c r="D374" s="17" t="s">
        <v>6</v>
      </c>
      <c r="E374" s="17" t="s">
        <v>3</v>
      </c>
      <c r="F374" s="17" t="s">
        <v>4</v>
      </c>
      <c r="G374" s="39">
        <f>G375+G409</f>
        <v>133244.95864999999</v>
      </c>
      <c r="H374" s="39">
        <f t="shared" ref="H374:I374" si="172">H375</f>
        <v>41451.599999999999</v>
      </c>
      <c r="I374" s="39">
        <f t="shared" si="172"/>
        <v>35280.6</v>
      </c>
      <c r="J374" s="1"/>
    </row>
    <row r="375" spans="1:10" ht="63" outlineLevel="3">
      <c r="A375" s="18" t="s">
        <v>265</v>
      </c>
      <c r="B375" s="19" t="s">
        <v>263</v>
      </c>
      <c r="C375" s="20" t="s">
        <v>45</v>
      </c>
      <c r="D375" s="20" t="s">
        <v>6</v>
      </c>
      <c r="E375" s="20" t="s">
        <v>266</v>
      </c>
      <c r="F375" s="20" t="s">
        <v>4</v>
      </c>
      <c r="G375" s="40">
        <f>G376+G384+G390</f>
        <v>108641.37993999998</v>
      </c>
      <c r="H375" s="40">
        <f t="shared" ref="H375:I375" si="173">H376+H384+H390</f>
        <v>41451.599999999999</v>
      </c>
      <c r="I375" s="40">
        <f t="shared" si="173"/>
        <v>35280.6</v>
      </c>
      <c r="J375" s="1"/>
    </row>
    <row r="376" spans="1:10" ht="78.75" outlineLevel="4">
      <c r="A376" s="18" t="s">
        <v>200</v>
      </c>
      <c r="B376" s="19" t="s">
        <v>263</v>
      </c>
      <c r="C376" s="20" t="s">
        <v>45</v>
      </c>
      <c r="D376" s="20" t="s">
        <v>6</v>
      </c>
      <c r="E376" s="20" t="s">
        <v>267</v>
      </c>
      <c r="F376" s="20" t="s">
        <v>4</v>
      </c>
      <c r="G376" s="40">
        <f>G377</f>
        <v>41757.188240000003</v>
      </c>
      <c r="H376" s="40">
        <f t="shared" ref="H376:I376" si="174">H377</f>
        <v>154.80000000000001</v>
      </c>
      <c r="I376" s="40">
        <f t="shared" si="174"/>
        <v>0</v>
      </c>
      <c r="J376" s="1"/>
    </row>
    <row r="377" spans="1:10" ht="63" outlineLevel="5">
      <c r="A377" s="18" t="s">
        <v>268</v>
      </c>
      <c r="B377" s="19" t="s">
        <v>263</v>
      </c>
      <c r="C377" s="20" t="s">
        <v>45</v>
      </c>
      <c r="D377" s="20" t="s">
        <v>6</v>
      </c>
      <c r="E377" s="20" t="s">
        <v>269</v>
      </c>
      <c r="F377" s="20" t="s">
        <v>4</v>
      </c>
      <c r="G377" s="40">
        <f>G378+G380+G382</f>
        <v>41757.188240000003</v>
      </c>
      <c r="H377" s="40">
        <f t="shared" ref="H377:I377" si="175">H378+H380+H382</f>
        <v>154.80000000000001</v>
      </c>
      <c r="I377" s="40">
        <f t="shared" si="175"/>
        <v>0</v>
      </c>
      <c r="J377" s="1"/>
    </row>
    <row r="378" spans="1:10" ht="94.5" outlineLevel="6">
      <c r="A378" s="18" t="s">
        <v>270</v>
      </c>
      <c r="B378" s="19" t="s">
        <v>263</v>
      </c>
      <c r="C378" s="20" t="s">
        <v>45</v>
      </c>
      <c r="D378" s="20" t="s">
        <v>6</v>
      </c>
      <c r="E378" s="20" t="s">
        <v>271</v>
      </c>
      <c r="F378" s="20" t="s">
        <v>4</v>
      </c>
      <c r="G378" s="40">
        <f>G379</f>
        <v>40921.961920000002</v>
      </c>
      <c r="H378" s="40">
        <f t="shared" ref="H378:I378" si="176">H379</f>
        <v>0</v>
      </c>
      <c r="I378" s="40">
        <f t="shared" si="176"/>
        <v>0</v>
      </c>
      <c r="J378" s="1"/>
    </row>
    <row r="379" spans="1:10" ht="47.25" outlineLevel="7">
      <c r="A379" s="18" t="s">
        <v>187</v>
      </c>
      <c r="B379" s="19" t="s">
        <v>263</v>
      </c>
      <c r="C379" s="20" t="s">
        <v>45</v>
      </c>
      <c r="D379" s="20" t="s">
        <v>6</v>
      </c>
      <c r="E379" s="20" t="s">
        <v>271</v>
      </c>
      <c r="F379" s="20" t="s">
        <v>188</v>
      </c>
      <c r="G379" s="40">
        <f>27755.7+13708.77366-542-0.51174</f>
        <v>40921.961920000002</v>
      </c>
      <c r="H379" s="40">
        <f>30347.2-30347.2</f>
        <v>0</v>
      </c>
      <c r="I379" s="40">
        <v>0</v>
      </c>
      <c r="J379" s="1"/>
    </row>
    <row r="380" spans="1:10" ht="47.25" outlineLevel="6">
      <c r="A380" s="18" t="s">
        <v>272</v>
      </c>
      <c r="B380" s="19" t="s">
        <v>263</v>
      </c>
      <c r="C380" s="20" t="s">
        <v>45</v>
      </c>
      <c r="D380" s="20" t="s">
        <v>6</v>
      </c>
      <c r="E380" s="20" t="s">
        <v>273</v>
      </c>
      <c r="F380" s="20" t="s">
        <v>4</v>
      </c>
      <c r="G380" s="40">
        <f>G381</f>
        <v>626.44081999999992</v>
      </c>
      <c r="H380" s="40">
        <f t="shared" ref="H380:I380" si="177">H381</f>
        <v>0</v>
      </c>
      <c r="I380" s="40">
        <f t="shared" si="177"/>
        <v>0</v>
      </c>
      <c r="J380" s="1"/>
    </row>
    <row r="381" spans="1:10" ht="47.25" outlineLevel="7">
      <c r="A381" s="18" t="s">
        <v>187</v>
      </c>
      <c r="B381" s="19" t="s">
        <v>263</v>
      </c>
      <c r="C381" s="20" t="s">
        <v>45</v>
      </c>
      <c r="D381" s="20" t="s">
        <v>6</v>
      </c>
      <c r="E381" s="20" t="s">
        <v>273</v>
      </c>
      <c r="F381" s="20" t="s">
        <v>188</v>
      </c>
      <c r="G381" s="40">
        <f>424.8+209.8476-8.2-0.00678</f>
        <v>626.44081999999992</v>
      </c>
      <c r="H381" s="40">
        <f>464.5-464.5</f>
        <v>0</v>
      </c>
      <c r="I381" s="40">
        <v>0</v>
      </c>
      <c r="J381" s="1"/>
    </row>
    <row r="382" spans="1:10" ht="47.25" outlineLevel="6">
      <c r="A382" s="18" t="s">
        <v>272</v>
      </c>
      <c r="B382" s="19" t="s">
        <v>263</v>
      </c>
      <c r="C382" s="20" t="s">
        <v>45</v>
      </c>
      <c r="D382" s="20" t="s">
        <v>6</v>
      </c>
      <c r="E382" s="20" t="s">
        <v>274</v>
      </c>
      <c r="F382" s="20" t="s">
        <v>4</v>
      </c>
      <c r="G382" s="40">
        <f>G383</f>
        <v>208.78550000000001</v>
      </c>
      <c r="H382" s="40">
        <f t="shared" ref="H382:I382" si="178">H383</f>
        <v>154.80000000000001</v>
      </c>
      <c r="I382" s="40">
        <f t="shared" si="178"/>
        <v>0</v>
      </c>
      <c r="J382" s="1"/>
    </row>
    <row r="383" spans="1:10" ht="47.25" outlineLevel="7">
      <c r="A383" s="18" t="s">
        <v>187</v>
      </c>
      <c r="B383" s="19" t="s">
        <v>263</v>
      </c>
      <c r="C383" s="20" t="s">
        <v>45</v>
      </c>
      <c r="D383" s="20" t="s">
        <v>6</v>
      </c>
      <c r="E383" s="20" t="s">
        <v>274</v>
      </c>
      <c r="F383" s="20" t="s">
        <v>188</v>
      </c>
      <c r="G383" s="40">
        <f>141.6+67.1855</f>
        <v>208.78550000000001</v>
      </c>
      <c r="H383" s="40">
        <v>154.80000000000001</v>
      </c>
      <c r="I383" s="40">
        <v>0</v>
      </c>
      <c r="J383" s="1"/>
    </row>
    <row r="384" spans="1:10" ht="47.25" outlineLevel="4">
      <c r="A384" s="18" t="s">
        <v>94</v>
      </c>
      <c r="B384" s="19" t="s">
        <v>263</v>
      </c>
      <c r="C384" s="20" t="s">
        <v>45</v>
      </c>
      <c r="D384" s="20" t="s">
        <v>6</v>
      </c>
      <c r="E384" s="20" t="s">
        <v>275</v>
      </c>
      <c r="F384" s="20" t="s">
        <v>4</v>
      </c>
      <c r="G384" s="40">
        <f>G385</f>
        <v>48189.072999999997</v>
      </c>
      <c r="H384" s="40">
        <f t="shared" ref="H384:I384" si="179">H385</f>
        <v>26912.6</v>
      </c>
      <c r="I384" s="40">
        <f t="shared" si="179"/>
        <v>20908.599999999999</v>
      </c>
      <c r="J384" s="1"/>
    </row>
    <row r="385" spans="1:10" ht="173.25" outlineLevel="5">
      <c r="A385" s="18" t="s">
        <v>276</v>
      </c>
      <c r="B385" s="19" t="s">
        <v>263</v>
      </c>
      <c r="C385" s="20" t="s">
        <v>45</v>
      </c>
      <c r="D385" s="20" t="s">
        <v>6</v>
      </c>
      <c r="E385" s="20" t="s">
        <v>277</v>
      </c>
      <c r="F385" s="20" t="s">
        <v>4</v>
      </c>
      <c r="G385" s="40">
        <f>G386+G388</f>
        <v>48189.072999999997</v>
      </c>
      <c r="H385" s="40">
        <f t="shared" ref="H385:I385" si="180">H386+H388</f>
        <v>26912.6</v>
      </c>
      <c r="I385" s="40">
        <f t="shared" si="180"/>
        <v>20908.599999999999</v>
      </c>
      <c r="J385" s="1"/>
    </row>
    <row r="386" spans="1:10" ht="78.75" outlineLevel="6">
      <c r="A386" s="18" t="s">
        <v>278</v>
      </c>
      <c r="B386" s="19" t="s">
        <v>263</v>
      </c>
      <c r="C386" s="20" t="s">
        <v>45</v>
      </c>
      <c r="D386" s="20" t="s">
        <v>6</v>
      </c>
      <c r="E386" s="20" t="s">
        <v>279</v>
      </c>
      <c r="F386" s="20" t="s">
        <v>4</v>
      </c>
      <c r="G386" s="40">
        <f>G387</f>
        <v>41924.072999999997</v>
      </c>
      <c r="H386" s="40">
        <f t="shared" ref="H386:I386" si="181">H387</f>
        <v>23414</v>
      </c>
      <c r="I386" s="40">
        <f t="shared" si="181"/>
        <v>17410</v>
      </c>
      <c r="J386" s="1"/>
    </row>
    <row r="387" spans="1:10" ht="47.25" outlineLevel="7">
      <c r="A387" s="18" t="s">
        <v>187</v>
      </c>
      <c r="B387" s="19" t="s">
        <v>263</v>
      </c>
      <c r="C387" s="20" t="s">
        <v>45</v>
      </c>
      <c r="D387" s="20" t="s">
        <v>6</v>
      </c>
      <c r="E387" s="20" t="s">
        <v>279</v>
      </c>
      <c r="F387" s="20" t="s">
        <v>188</v>
      </c>
      <c r="G387" s="40">
        <f>40154+1770.073</f>
        <v>41924.072999999997</v>
      </c>
      <c r="H387" s="40">
        <v>23414</v>
      </c>
      <c r="I387" s="40">
        <v>17410</v>
      </c>
      <c r="J387" s="1"/>
    </row>
    <row r="388" spans="1:10" ht="78.75" outlineLevel="6">
      <c r="A388" s="18" t="s">
        <v>278</v>
      </c>
      <c r="B388" s="19" t="s">
        <v>263</v>
      </c>
      <c r="C388" s="20" t="s">
        <v>45</v>
      </c>
      <c r="D388" s="20" t="s">
        <v>6</v>
      </c>
      <c r="E388" s="20" t="s">
        <v>280</v>
      </c>
      <c r="F388" s="20" t="s">
        <v>4</v>
      </c>
      <c r="G388" s="40">
        <f>G389</f>
        <v>6265</v>
      </c>
      <c r="H388" s="40">
        <f t="shared" ref="H388:I388" si="182">H389</f>
        <v>3498.6</v>
      </c>
      <c r="I388" s="40">
        <f t="shared" si="182"/>
        <v>3498.6</v>
      </c>
      <c r="J388" s="1"/>
    </row>
    <row r="389" spans="1:10" ht="47.25" outlineLevel="7">
      <c r="A389" s="18" t="s">
        <v>187</v>
      </c>
      <c r="B389" s="19" t="s">
        <v>263</v>
      </c>
      <c r="C389" s="20" t="s">
        <v>45</v>
      </c>
      <c r="D389" s="20" t="s">
        <v>6</v>
      </c>
      <c r="E389" s="20" t="s">
        <v>280</v>
      </c>
      <c r="F389" s="20" t="s">
        <v>188</v>
      </c>
      <c r="G389" s="40">
        <f>6000+265</f>
        <v>6265</v>
      </c>
      <c r="H389" s="40">
        <v>3498.6</v>
      </c>
      <c r="I389" s="40">
        <v>3498.6</v>
      </c>
      <c r="J389" s="1"/>
    </row>
    <row r="390" spans="1:10" ht="31.5" outlineLevel="4">
      <c r="A390" s="18" t="s">
        <v>11</v>
      </c>
      <c r="B390" s="19" t="s">
        <v>263</v>
      </c>
      <c r="C390" s="20" t="s">
        <v>45</v>
      </c>
      <c r="D390" s="20" t="s">
        <v>6</v>
      </c>
      <c r="E390" s="20" t="s">
        <v>281</v>
      </c>
      <c r="F390" s="20" t="s">
        <v>4</v>
      </c>
      <c r="G390" s="40">
        <f>G391+G394+G399+G406</f>
        <v>18695.118699999999</v>
      </c>
      <c r="H390" s="40">
        <f t="shared" ref="H390:I390" si="183">H391+H394+H399+H406</f>
        <v>14384.2</v>
      </c>
      <c r="I390" s="40">
        <f t="shared" si="183"/>
        <v>14372</v>
      </c>
      <c r="J390" s="1"/>
    </row>
    <row r="391" spans="1:10" ht="129" customHeight="1" outlineLevel="5">
      <c r="A391" s="18" t="s">
        <v>282</v>
      </c>
      <c r="B391" s="19" t="s">
        <v>263</v>
      </c>
      <c r="C391" s="20" t="s">
        <v>45</v>
      </c>
      <c r="D391" s="20" t="s">
        <v>6</v>
      </c>
      <c r="E391" s="20" t="s">
        <v>283</v>
      </c>
      <c r="F391" s="20" t="s">
        <v>4</v>
      </c>
      <c r="G391" s="40">
        <f>G392</f>
        <v>4183.5999999999995</v>
      </c>
      <c r="H391" s="40">
        <f t="shared" ref="H391:I391" si="184">H392</f>
        <v>1767.2</v>
      </c>
      <c r="I391" s="40">
        <f t="shared" si="184"/>
        <v>1755</v>
      </c>
      <c r="J391" s="1"/>
    </row>
    <row r="392" spans="1:10" ht="78.75" outlineLevel="6">
      <c r="A392" s="18" t="s">
        <v>284</v>
      </c>
      <c r="B392" s="19" t="s">
        <v>263</v>
      </c>
      <c r="C392" s="20" t="s">
        <v>45</v>
      </c>
      <c r="D392" s="20" t="s">
        <v>6</v>
      </c>
      <c r="E392" s="20" t="s">
        <v>285</v>
      </c>
      <c r="F392" s="20" t="s">
        <v>4</v>
      </c>
      <c r="G392" s="40">
        <f>G393</f>
        <v>4183.5999999999995</v>
      </c>
      <c r="H392" s="40">
        <f t="shared" ref="H392:I392" si="185">H393</f>
        <v>1767.2</v>
      </c>
      <c r="I392" s="40">
        <f t="shared" si="185"/>
        <v>1755</v>
      </c>
      <c r="J392" s="1"/>
    </row>
    <row r="393" spans="1:10" ht="63" outlineLevel="7">
      <c r="A393" s="18" t="s">
        <v>27</v>
      </c>
      <c r="B393" s="19" t="s">
        <v>263</v>
      </c>
      <c r="C393" s="20" t="s">
        <v>45</v>
      </c>
      <c r="D393" s="20" t="s">
        <v>6</v>
      </c>
      <c r="E393" s="20" t="s">
        <v>285</v>
      </c>
      <c r="F393" s="20" t="s">
        <v>28</v>
      </c>
      <c r="G393" s="40">
        <f>1595.7-97.8-498.8+3570.6-386.1</f>
        <v>4183.5999999999995</v>
      </c>
      <c r="H393" s="40">
        <v>1767.2</v>
      </c>
      <c r="I393" s="40">
        <v>1755</v>
      </c>
      <c r="J393" s="1"/>
    </row>
    <row r="394" spans="1:10" ht="63" outlineLevel="5">
      <c r="A394" s="18" t="s">
        <v>286</v>
      </c>
      <c r="B394" s="19" t="s">
        <v>263</v>
      </c>
      <c r="C394" s="20" t="s">
        <v>45</v>
      </c>
      <c r="D394" s="20" t="s">
        <v>6</v>
      </c>
      <c r="E394" s="20" t="s">
        <v>287</v>
      </c>
      <c r="F394" s="20" t="s">
        <v>4</v>
      </c>
      <c r="G394" s="40">
        <f>G395+G397</f>
        <v>1802.5</v>
      </c>
      <c r="H394" s="40">
        <f t="shared" ref="H394:I394" si="186">H395+H397</f>
        <v>1441.6</v>
      </c>
      <c r="I394" s="40">
        <f t="shared" si="186"/>
        <v>1441.6</v>
      </c>
      <c r="J394" s="1"/>
    </row>
    <row r="395" spans="1:10" ht="63" outlineLevel="6">
      <c r="A395" s="18" t="s">
        <v>288</v>
      </c>
      <c r="B395" s="19" t="s">
        <v>263</v>
      </c>
      <c r="C395" s="20" t="s">
        <v>45</v>
      </c>
      <c r="D395" s="20" t="s">
        <v>6</v>
      </c>
      <c r="E395" s="20" t="s">
        <v>289</v>
      </c>
      <c r="F395" s="20" t="s">
        <v>4</v>
      </c>
      <c r="G395" s="40">
        <f>G396</f>
        <v>1609.4</v>
      </c>
      <c r="H395" s="40">
        <f t="shared" ref="H395:I395" si="187">H396</f>
        <v>1228.5999999999999</v>
      </c>
      <c r="I395" s="40">
        <f t="shared" si="187"/>
        <v>1228.5999999999999</v>
      </c>
      <c r="J395" s="1"/>
    </row>
    <row r="396" spans="1:10" ht="63" outlineLevel="7">
      <c r="A396" s="18" t="s">
        <v>27</v>
      </c>
      <c r="B396" s="19" t="s">
        <v>263</v>
      </c>
      <c r="C396" s="20" t="s">
        <v>45</v>
      </c>
      <c r="D396" s="20" t="s">
        <v>6</v>
      </c>
      <c r="E396" s="20" t="s">
        <v>289</v>
      </c>
      <c r="F396" s="20" t="s">
        <v>28</v>
      </c>
      <c r="G396" s="40">
        <f>1209.4+200+200</f>
        <v>1609.4</v>
      </c>
      <c r="H396" s="40">
        <v>1228.5999999999999</v>
      </c>
      <c r="I396" s="40">
        <v>1228.5999999999999</v>
      </c>
      <c r="J396" s="1"/>
    </row>
    <row r="397" spans="1:10" ht="63" outlineLevel="6">
      <c r="A397" s="18" t="s">
        <v>290</v>
      </c>
      <c r="B397" s="19" t="s">
        <v>263</v>
      </c>
      <c r="C397" s="20" t="s">
        <v>45</v>
      </c>
      <c r="D397" s="20" t="s">
        <v>6</v>
      </c>
      <c r="E397" s="20" t="s">
        <v>291</v>
      </c>
      <c r="F397" s="20" t="s">
        <v>4</v>
      </c>
      <c r="G397" s="40">
        <f>G398</f>
        <v>193.1</v>
      </c>
      <c r="H397" s="40">
        <f t="shared" ref="H397:I397" si="188">H398</f>
        <v>213</v>
      </c>
      <c r="I397" s="40">
        <f t="shared" si="188"/>
        <v>213</v>
      </c>
      <c r="J397" s="1"/>
    </row>
    <row r="398" spans="1:10" ht="63" outlineLevel="7">
      <c r="A398" s="18" t="s">
        <v>27</v>
      </c>
      <c r="B398" s="19" t="s">
        <v>263</v>
      </c>
      <c r="C398" s="20" t="s">
        <v>45</v>
      </c>
      <c r="D398" s="20" t="s">
        <v>6</v>
      </c>
      <c r="E398" s="20" t="s">
        <v>291</v>
      </c>
      <c r="F398" s="20" t="s">
        <v>28</v>
      </c>
      <c r="G398" s="40">
        <f>213-19.9</f>
        <v>193.1</v>
      </c>
      <c r="H398" s="40">
        <v>213</v>
      </c>
      <c r="I398" s="40">
        <v>213</v>
      </c>
      <c r="J398" s="1"/>
    </row>
    <row r="399" spans="1:10" ht="78.75" outlineLevel="5">
      <c r="A399" s="18" t="s">
        <v>292</v>
      </c>
      <c r="B399" s="19" t="s">
        <v>263</v>
      </c>
      <c r="C399" s="20" t="s">
        <v>45</v>
      </c>
      <c r="D399" s="20" t="s">
        <v>6</v>
      </c>
      <c r="E399" s="20" t="s">
        <v>293</v>
      </c>
      <c r="F399" s="20" t="s">
        <v>4</v>
      </c>
      <c r="G399" s="40">
        <f>G400+G402+G404</f>
        <v>1241.0187000000001</v>
      </c>
      <c r="H399" s="40">
        <f t="shared" ref="H399:I399" si="189">H400+H402+H404</f>
        <v>175.4</v>
      </c>
      <c r="I399" s="40">
        <f t="shared" si="189"/>
        <v>175.4</v>
      </c>
      <c r="J399" s="1"/>
    </row>
    <row r="400" spans="1:10" ht="110.25" outlineLevel="6">
      <c r="A400" s="18" t="s">
        <v>294</v>
      </c>
      <c r="B400" s="19" t="s">
        <v>263</v>
      </c>
      <c r="C400" s="20" t="s">
        <v>45</v>
      </c>
      <c r="D400" s="20" t="s">
        <v>6</v>
      </c>
      <c r="E400" s="20" t="s">
        <v>295</v>
      </c>
      <c r="F400" s="20" t="s">
        <v>4</v>
      </c>
      <c r="G400" s="40">
        <f>G401</f>
        <v>130.4</v>
      </c>
      <c r="H400" s="40">
        <f t="shared" ref="H400:I400" si="190">H401</f>
        <v>130.4</v>
      </c>
      <c r="I400" s="40">
        <f t="shared" si="190"/>
        <v>130.4</v>
      </c>
      <c r="J400" s="1"/>
    </row>
    <row r="401" spans="1:10" ht="31.5" outlineLevel="7">
      <c r="A401" s="18" t="s">
        <v>42</v>
      </c>
      <c r="B401" s="19" t="s">
        <v>263</v>
      </c>
      <c r="C401" s="20" t="s">
        <v>45</v>
      </c>
      <c r="D401" s="20" t="s">
        <v>6</v>
      </c>
      <c r="E401" s="20" t="s">
        <v>295</v>
      </c>
      <c r="F401" s="20" t="s">
        <v>43</v>
      </c>
      <c r="G401" s="40">
        <v>130.4</v>
      </c>
      <c r="H401" s="40">
        <v>130.4</v>
      </c>
      <c r="I401" s="40">
        <v>130.4</v>
      </c>
      <c r="J401" s="1"/>
    </row>
    <row r="402" spans="1:10" ht="110.25" outlineLevel="6">
      <c r="A402" s="18" t="s">
        <v>296</v>
      </c>
      <c r="B402" s="19" t="s">
        <v>263</v>
      </c>
      <c r="C402" s="20" t="s">
        <v>45</v>
      </c>
      <c r="D402" s="20" t="s">
        <v>6</v>
      </c>
      <c r="E402" s="20" t="s">
        <v>297</v>
      </c>
      <c r="F402" s="20" t="s">
        <v>4</v>
      </c>
      <c r="G402" s="40">
        <f>G403</f>
        <v>31.8</v>
      </c>
      <c r="H402" s="40">
        <f t="shared" ref="H402:I402" si="191">H403</f>
        <v>25</v>
      </c>
      <c r="I402" s="40">
        <f t="shared" si="191"/>
        <v>25</v>
      </c>
      <c r="J402" s="1"/>
    </row>
    <row r="403" spans="1:10" ht="31.5" outlineLevel="7">
      <c r="A403" s="18" t="s">
        <v>42</v>
      </c>
      <c r="B403" s="19" t="s">
        <v>263</v>
      </c>
      <c r="C403" s="20" t="s">
        <v>45</v>
      </c>
      <c r="D403" s="20" t="s">
        <v>6</v>
      </c>
      <c r="E403" s="20" t="s">
        <v>297</v>
      </c>
      <c r="F403" s="20" t="s">
        <v>43</v>
      </c>
      <c r="G403" s="40">
        <f>25+6.8</f>
        <v>31.8</v>
      </c>
      <c r="H403" s="40">
        <v>25</v>
      </c>
      <c r="I403" s="40">
        <v>25</v>
      </c>
      <c r="J403" s="1"/>
    </row>
    <row r="404" spans="1:10" ht="63" outlineLevel="6">
      <c r="A404" s="18" t="s">
        <v>298</v>
      </c>
      <c r="B404" s="19" t="s">
        <v>263</v>
      </c>
      <c r="C404" s="20" t="s">
        <v>45</v>
      </c>
      <c r="D404" s="20" t="s">
        <v>6</v>
      </c>
      <c r="E404" s="20" t="s">
        <v>299</v>
      </c>
      <c r="F404" s="20" t="s">
        <v>4</v>
      </c>
      <c r="G404" s="40">
        <f>G405</f>
        <v>1078.8187</v>
      </c>
      <c r="H404" s="40">
        <f t="shared" ref="H404:I404" si="192">H405</f>
        <v>20</v>
      </c>
      <c r="I404" s="40">
        <f t="shared" si="192"/>
        <v>20</v>
      </c>
      <c r="J404" s="1"/>
    </row>
    <row r="405" spans="1:10" ht="31.5" outlineLevel="7">
      <c r="A405" s="18" t="s">
        <v>63</v>
      </c>
      <c r="B405" s="19" t="s">
        <v>263</v>
      </c>
      <c r="C405" s="20" t="s">
        <v>45</v>
      </c>
      <c r="D405" s="20" t="s">
        <v>6</v>
      </c>
      <c r="E405" s="20" t="s">
        <v>299</v>
      </c>
      <c r="F405" s="20" t="s">
        <v>64</v>
      </c>
      <c r="G405" s="40">
        <f>20+1050.0187+8.8</f>
        <v>1078.8187</v>
      </c>
      <c r="H405" s="40">
        <v>20</v>
      </c>
      <c r="I405" s="40">
        <v>20</v>
      </c>
      <c r="J405" s="1"/>
    </row>
    <row r="406" spans="1:10" ht="78.75" outlineLevel="5">
      <c r="A406" s="18" t="s">
        <v>300</v>
      </c>
      <c r="B406" s="19" t="s">
        <v>263</v>
      </c>
      <c r="C406" s="20" t="s">
        <v>45</v>
      </c>
      <c r="D406" s="20" t="s">
        <v>6</v>
      </c>
      <c r="E406" s="20" t="s">
        <v>301</v>
      </c>
      <c r="F406" s="20" t="s">
        <v>4</v>
      </c>
      <c r="G406" s="40">
        <f>G407</f>
        <v>11468</v>
      </c>
      <c r="H406" s="40">
        <f t="shared" ref="H406:I407" si="193">H407</f>
        <v>11000</v>
      </c>
      <c r="I406" s="40">
        <f t="shared" si="193"/>
        <v>11000</v>
      </c>
      <c r="J406" s="1"/>
    </row>
    <row r="407" spans="1:10" ht="31.5" outlineLevel="6">
      <c r="A407" s="18" t="s">
        <v>302</v>
      </c>
      <c r="B407" s="19" t="s">
        <v>263</v>
      </c>
      <c r="C407" s="20" t="s">
        <v>45</v>
      </c>
      <c r="D407" s="20" t="s">
        <v>6</v>
      </c>
      <c r="E407" s="20" t="s">
        <v>303</v>
      </c>
      <c r="F407" s="20" t="s">
        <v>4</v>
      </c>
      <c r="G407" s="40">
        <f>G408</f>
        <v>11468</v>
      </c>
      <c r="H407" s="40">
        <f t="shared" si="193"/>
        <v>11000</v>
      </c>
      <c r="I407" s="40">
        <f t="shared" si="193"/>
        <v>11000</v>
      </c>
      <c r="J407" s="1"/>
    </row>
    <row r="408" spans="1:10" ht="63" outlineLevel="7">
      <c r="A408" s="18" t="s">
        <v>27</v>
      </c>
      <c r="B408" s="19" t="s">
        <v>263</v>
      </c>
      <c r="C408" s="20" t="s">
        <v>45</v>
      </c>
      <c r="D408" s="20" t="s">
        <v>6</v>
      </c>
      <c r="E408" s="20" t="s">
        <v>303</v>
      </c>
      <c r="F408" s="20" t="s">
        <v>28</v>
      </c>
      <c r="G408" s="40">
        <f>11000+600-132</f>
        <v>11468</v>
      </c>
      <c r="H408" s="40">
        <v>11000</v>
      </c>
      <c r="I408" s="40">
        <v>11000</v>
      </c>
      <c r="J408" s="1"/>
    </row>
    <row r="409" spans="1:10" ht="31.5" outlineLevel="7">
      <c r="A409" s="18" t="s">
        <v>140</v>
      </c>
      <c r="B409" s="19">
        <v>733</v>
      </c>
      <c r="C409" s="20" t="s">
        <v>45</v>
      </c>
      <c r="D409" s="20" t="s">
        <v>6</v>
      </c>
      <c r="E409" s="20" t="s">
        <v>141</v>
      </c>
      <c r="F409" s="20" t="s">
        <v>4</v>
      </c>
      <c r="G409" s="40">
        <f>G410</f>
        <v>24603.578710000002</v>
      </c>
      <c r="H409" s="40">
        <f t="shared" ref="H409:I411" si="194">H410</f>
        <v>0</v>
      </c>
      <c r="I409" s="40">
        <f t="shared" si="194"/>
        <v>0</v>
      </c>
      <c r="J409" s="1"/>
    </row>
    <row r="410" spans="1:10" ht="15.75" outlineLevel="7">
      <c r="A410" s="18" t="s">
        <v>142</v>
      </c>
      <c r="B410" s="19">
        <v>733</v>
      </c>
      <c r="C410" s="20" t="s">
        <v>45</v>
      </c>
      <c r="D410" s="20" t="s">
        <v>6</v>
      </c>
      <c r="E410" s="20" t="s">
        <v>143</v>
      </c>
      <c r="F410" s="20" t="s">
        <v>4</v>
      </c>
      <c r="G410" s="40">
        <f>G411</f>
        <v>24603.578710000002</v>
      </c>
      <c r="H410" s="40">
        <f t="shared" si="194"/>
        <v>0</v>
      </c>
      <c r="I410" s="40">
        <f t="shared" si="194"/>
        <v>0</v>
      </c>
      <c r="J410" s="1"/>
    </row>
    <row r="411" spans="1:10" ht="176.25" customHeight="1" outlineLevel="7">
      <c r="A411" s="30" t="s">
        <v>710</v>
      </c>
      <c r="B411" s="22">
        <v>733</v>
      </c>
      <c r="C411" s="20" t="s">
        <v>45</v>
      </c>
      <c r="D411" s="20" t="s">
        <v>6</v>
      </c>
      <c r="E411" s="20" t="s">
        <v>709</v>
      </c>
      <c r="F411" s="20" t="s">
        <v>4</v>
      </c>
      <c r="G411" s="40">
        <f>G412</f>
        <v>24603.578710000002</v>
      </c>
      <c r="H411" s="40">
        <f t="shared" si="194"/>
        <v>0</v>
      </c>
      <c r="I411" s="40">
        <f t="shared" si="194"/>
        <v>0</v>
      </c>
      <c r="J411" s="1"/>
    </row>
    <row r="412" spans="1:10" ht="31.5" outlineLevel="7">
      <c r="A412" s="18" t="s">
        <v>63</v>
      </c>
      <c r="B412" s="19">
        <v>733</v>
      </c>
      <c r="C412" s="20" t="s">
        <v>45</v>
      </c>
      <c r="D412" s="20" t="s">
        <v>6</v>
      </c>
      <c r="E412" s="20" t="s">
        <v>709</v>
      </c>
      <c r="F412" s="20" t="s">
        <v>64</v>
      </c>
      <c r="G412" s="40">
        <f>1980.11759+5619.50507+5000+6852.58845+5151.3676</f>
        <v>24603.578710000002</v>
      </c>
      <c r="H412" s="40">
        <v>0</v>
      </c>
      <c r="I412" s="40">
        <v>0</v>
      </c>
      <c r="J412" s="1"/>
    </row>
    <row r="413" spans="1:10" ht="31.5" outlineLevel="2">
      <c r="A413" s="15" t="s">
        <v>246</v>
      </c>
      <c r="B413" s="16" t="s">
        <v>263</v>
      </c>
      <c r="C413" s="17" t="s">
        <v>45</v>
      </c>
      <c r="D413" s="17" t="s">
        <v>45</v>
      </c>
      <c r="E413" s="17" t="s">
        <v>3</v>
      </c>
      <c r="F413" s="17" t="s">
        <v>4</v>
      </c>
      <c r="G413" s="39">
        <f>G414+G428</f>
        <v>18016.300000000003</v>
      </c>
      <c r="H413" s="39">
        <f t="shared" ref="H413:I415" si="195">H414</f>
        <v>15500</v>
      </c>
      <c r="I413" s="39">
        <f t="shared" si="195"/>
        <v>15500</v>
      </c>
      <c r="J413" s="1"/>
    </row>
    <row r="414" spans="1:10" ht="63" outlineLevel="3">
      <c r="A414" s="18" t="s">
        <v>265</v>
      </c>
      <c r="B414" s="19" t="s">
        <v>263</v>
      </c>
      <c r="C414" s="20" t="s">
        <v>45</v>
      </c>
      <c r="D414" s="20" t="s">
        <v>45</v>
      </c>
      <c r="E414" s="20" t="s">
        <v>266</v>
      </c>
      <c r="F414" s="20" t="s">
        <v>4</v>
      </c>
      <c r="G414" s="40">
        <f>G415</f>
        <v>17818.900000000001</v>
      </c>
      <c r="H414" s="40">
        <f t="shared" si="195"/>
        <v>15500</v>
      </c>
      <c r="I414" s="40">
        <f t="shared" si="195"/>
        <v>15500</v>
      </c>
      <c r="J414" s="1"/>
    </row>
    <row r="415" spans="1:10" ht="31.5" outlineLevel="4">
      <c r="A415" s="18" t="s">
        <v>11</v>
      </c>
      <c r="B415" s="19" t="s">
        <v>263</v>
      </c>
      <c r="C415" s="20" t="s">
        <v>45</v>
      </c>
      <c r="D415" s="20" t="s">
        <v>45</v>
      </c>
      <c r="E415" s="20" t="s">
        <v>281</v>
      </c>
      <c r="F415" s="20" t="s">
        <v>4</v>
      </c>
      <c r="G415" s="40">
        <f>G416</f>
        <v>17818.900000000001</v>
      </c>
      <c r="H415" s="40">
        <f t="shared" si="195"/>
        <v>15500</v>
      </c>
      <c r="I415" s="40">
        <f t="shared" si="195"/>
        <v>15500</v>
      </c>
      <c r="J415" s="1"/>
    </row>
    <row r="416" spans="1:10" ht="63" outlineLevel="5">
      <c r="A416" s="18" t="s">
        <v>69</v>
      </c>
      <c r="B416" s="19" t="s">
        <v>263</v>
      </c>
      <c r="C416" s="20" t="s">
        <v>45</v>
      </c>
      <c r="D416" s="20" t="s">
        <v>45</v>
      </c>
      <c r="E416" s="20" t="s">
        <v>304</v>
      </c>
      <c r="F416" s="20" t="s">
        <v>4</v>
      </c>
      <c r="G416" s="40">
        <f>G417+G420+G422+G424</f>
        <v>17818.900000000001</v>
      </c>
      <c r="H416" s="40">
        <f t="shared" ref="H416:I416" si="196">H417+H420+H422+H424</f>
        <v>15500</v>
      </c>
      <c r="I416" s="40">
        <f t="shared" si="196"/>
        <v>15500</v>
      </c>
      <c r="J416" s="1"/>
    </row>
    <row r="417" spans="1:10" ht="47.25" outlineLevel="6">
      <c r="A417" s="18" t="s">
        <v>21</v>
      </c>
      <c r="B417" s="19" t="s">
        <v>263</v>
      </c>
      <c r="C417" s="20" t="s">
        <v>45</v>
      </c>
      <c r="D417" s="20" t="s">
        <v>45</v>
      </c>
      <c r="E417" s="20" t="s">
        <v>305</v>
      </c>
      <c r="F417" s="20" t="s">
        <v>4</v>
      </c>
      <c r="G417" s="40">
        <f>G418+G419</f>
        <v>8136.2000000000007</v>
      </c>
      <c r="H417" s="40">
        <f t="shared" ref="H417:I417" si="197">H418+H419</f>
        <v>6864.7000000000007</v>
      </c>
      <c r="I417" s="40">
        <f t="shared" si="197"/>
        <v>6864.7000000000007</v>
      </c>
      <c r="J417" s="1"/>
    </row>
    <row r="418" spans="1:10" ht="128.25" customHeight="1" outlineLevel="7">
      <c r="A418" s="18" t="s">
        <v>17</v>
      </c>
      <c r="B418" s="19" t="s">
        <v>263</v>
      </c>
      <c r="C418" s="20" t="s">
        <v>45</v>
      </c>
      <c r="D418" s="20" t="s">
        <v>45</v>
      </c>
      <c r="E418" s="20" t="s">
        <v>305</v>
      </c>
      <c r="F418" s="20" t="s">
        <v>18</v>
      </c>
      <c r="G418" s="40">
        <f>6471.6+232.9+1038.6</f>
        <v>7743.1</v>
      </c>
      <c r="H418" s="40">
        <v>6471.6</v>
      </c>
      <c r="I418" s="40">
        <v>6471.6</v>
      </c>
      <c r="J418" s="1"/>
    </row>
    <row r="419" spans="1:10" ht="63" outlineLevel="7">
      <c r="A419" s="18" t="s">
        <v>27</v>
      </c>
      <c r="B419" s="19" t="s">
        <v>263</v>
      </c>
      <c r="C419" s="20" t="s">
        <v>45</v>
      </c>
      <c r="D419" s="20" t="s">
        <v>45</v>
      </c>
      <c r="E419" s="20" t="s">
        <v>305</v>
      </c>
      <c r="F419" s="20" t="s">
        <v>28</v>
      </c>
      <c r="G419" s="40">
        <v>393.1</v>
      </c>
      <c r="H419" s="40">
        <v>393.1</v>
      </c>
      <c r="I419" s="40">
        <v>393.1</v>
      </c>
      <c r="J419" s="1"/>
    </row>
    <row r="420" spans="1:10" ht="47.25" outlineLevel="6">
      <c r="A420" s="18" t="s">
        <v>306</v>
      </c>
      <c r="B420" s="19" t="s">
        <v>263</v>
      </c>
      <c r="C420" s="20" t="s">
        <v>45</v>
      </c>
      <c r="D420" s="20" t="s">
        <v>45</v>
      </c>
      <c r="E420" s="20" t="s">
        <v>307</v>
      </c>
      <c r="F420" s="20" t="s">
        <v>4</v>
      </c>
      <c r="G420" s="40">
        <f>G421</f>
        <v>660</v>
      </c>
      <c r="H420" s="40">
        <f t="shared" ref="H420:I420" si="198">H421</f>
        <v>190</v>
      </c>
      <c r="I420" s="40">
        <f t="shared" si="198"/>
        <v>190</v>
      </c>
      <c r="J420" s="1"/>
    </row>
    <row r="421" spans="1:10" ht="63" outlineLevel="7">
      <c r="A421" s="18" t="s">
        <v>27</v>
      </c>
      <c r="B421" s="19" t="s">
        <v>263</v>
      </c>
      <c r="C421" s="20" t="s">
        <v>45</v>
      </c>
      <c r="D421" s="20" t="s">
        <v>45</v>
      </c>
      <c r="E421" s="20" t="s">
        <v>307</v>
      </c>
      <c r="F421" s="20" t="s">
        <v>28</v>
      </c>
      <c r="G421" s="40">
        <f>190+290+180</f>
        <v>660</v>
      </c>
      <c r="H421" s="40">
        <v>190</v>
      </c>
      <c r="I421" s="40">
        <v>190</v>
      </c>
      <c r="J421" s="1"/>
    </row>
    <row r="422" spans="1:10" ht="78.75" outlineLevel="6">
      <c r="A422" s="18" t="s">
        <v>308</v>
      </c>
      <c r="B422" s="19" t="s">
        <v>263</v>
      </c>
      <c r="C422" s="20" t="s">
        <v>45</v>
      </c>
      <c r="D422" s="20" t="s">
        <v>45</v>
      </c>
      <c r="E422" s="20" t="s">
        <v>309</v>
      </c>
      <c r="F422" s="20" t="s">
        <v>4</v>
      </c>
      <c r="G422" s="40">
        <f>G423</f>
        <v>481.8</v>
      </c>
      <c r="H422" s="40">
        <f t="shared" ref="H422:I422" si="199">H423</f>
        <v>408</v>
      </c>
      <c r="I422" s="40">
        <f t="shared" si="199"/>
        <v>408</v>
      </c>
      <c r="J422" s="1"/>
    </row>
    <row r="423" spans="1:10" ht="128.25" customHeight="1" outlineLevel="7">
      <c r="A423" s="18" t="s">
        <v>17</v>
      </c>
      <c r="B423" s="19" t="s">
        <v>263</v>
      </c>
      <c r="C423" s="20" t="s">
        <v>45</v>
      </c>
      <c r="D423" s="20" t="s">
        <v>45</v>
      </c>
      <c r="E423" s="20" t="s">
        <v>309</v>
      </c>
      <c r="F423" s="20" t="s">
        <v>18</v>
      </c>
      <c r="G423" s="40">
        <f>408+14.8+59</f>
        <v>481.8</v>
      </c>
      <c r="H423" s="40">
        <v>408</v>
      </c>
      <c r="I423" s="40">
        <v>408</v>
      </c>
      <c r="J423" s="1"/>
    </row>
    <row r="424" spans="1:10" ht="63" outlineLevel="6">
      <c r="A424" s="18" t="s">
        <v>310</v>
      </c>
      <c r="B424" s="19" t="s">
        <v>263</v>
      </c>
      <c r="C424" s="20" t="s">
        <v>45</v>
      </c>
      <c r="D424" s="20" t="s">
        <v>45</v>
      </c>
      <c r="E424" s="20" t="s">
        <v>311</v>
      </c>
      <c r="F424" s="20" t="s">
        <v>4</v>
      </c>
      <c r="G424" s="40">
        <f>G425+G426+G427</f>
        <v>8540.9</v>
      </c>
      <c r="H424" s="40">
        <f t="shared" ref="H424:I424" si="200">H425+H426+H427</f>
        <v>8037.3</v>
      </c>
      <c r="I424" s="40">
        <f t="shared" si="200"/>
        <v>8037.3</v>
      </c>
      <c r="J424" s="1"/>
    </row>
    <row r="425" spans="1:10" ht="126.75" customHeight="1" outlineLevel="7">
      <c r="A425" s="18" t="s">
        <v>17</v>
      </c>
      <c r="B425" s="19" t="s">
        <v>263</v>
      </c>
      <c r="C425" s="20" t="s">
        <v>45</v>
      </c>
      <c r="D425" s="20" t="s">
        <v>45</v>
      </c>
      <c r="E425" s="20" t="s">
        <v>311</v>
      </c>
      <c r="F425" s="20" t="s">
        <v>18</v>
      </c>
      <c r="G425" s="40">
        <f>6674.5+240.2+105.4</f>
        <v>7020.0999999999995</v>
      </c>
      <c r="H425" s="40">
        <v>6674.5</v>
      </c>
      <c r="I425" s="40">
        <v>6674.5</v>
      </c>
      <c r="J425" s="1"/>
    </row>
    <row r="426" spans="1:10" ht="63" outlineLevel="7">
      <c r="A426" s="18" t="s">
        <v>27</v>
      </c>
      <c r="B426" s="19" t="s">
        <v>263</v>
      </c>
      <c r="C426" s="20" t="s">
        <v>45</v>
      </c>
      <c r="D426" s="20" t="s">
        <v>45</v>
      </c>
      <c r="E426" s="20" t="s">
        <v>311</v>
      </c>
      <c r="F426" s="20" t="s">
        <v>28</v>
      </c>
      <c r="G426" s="40">
        <f>1362.8-0.1-0.1+158</f>
        <v>1520.6000000000001</v>
      </c>
      <c r="H426" s="40">
        <v>1362.8</v>
      </c>
      <c r="I426" s="40">
        <v>1362.8</v>
      </c>
      <c r="J426" s="1"/>
    </row>
    <row r="427" spans="1:10" ht="31.5" outlineLevel="7">
      <c r="A427" s="18" t="s">
        <v>63</v>
      </c>
      <c r="B427" s="19" t="s">
        <v>263</v>
      </c>
      <c r="C427" s="20" t="s">
        <v>45</v>
      </c>
      <c r="D427" s="20" t="s">
        <v>45</v>
      </c>
      <c r="E427" s="20" t="s">
        <v>311</v>
      </c>
      <c r="F427" s="19">
        <v>800</v>
      </c>
      <c r="G427" s="40">
        <f>0.1+0.1</f>
        <v>0.2</v>
      </c>
      <c r="H427" s="40">
        <v>0</v>
      </c>
      <c r="I427" s="40">
        <v>0</v>
      </c>
      <c r="J427" s="1"/>
    </row>
    <row r="428" spans="1:10" ht="31.5" outlineLevel="7">
      <c r="A428" s="18" t="s">
        <v>140</v>
      </c>
      <c r="B428" s="19" t="s">
        <v>263</v>
      </c>
      <c r="C428" s="20" t="s">
        <v>45</v>
      </c>
      <c r="D428" s="20" t="s">
        <v>45</v>
      </c>
      <c r="E428" s="20" t="s">
        <v>141</v>
      </c>
      <c r="F428" s="20" t="s">
        <v>4</v>
      </c>
      <c r="G428" s="40">
        <f t="shared" ref="G428:G429" si="201">G429</f>
        <v>197.4</v>
      </c>
      <c r="H428" s="40">
        <f t="shared" ref="H428:H429" si="202">H429</f>
        <v>0</v>
      </c>
      <c r="I428" s="40">
        <f t="shared" ref="I428:I429" si="203">I429</f>
        <v>0</v>
      </c>
      <c r="J428" s="1"/>
    </row>
    <row r="429" spans="1:10" ht="15.75" outlineLevel="7">
      <c r="A429" s="18" t="s">
        <v>142</v>
      </c>
      <c r="B429" s="19" t="s">
        <v>263</v>
      </c>
      <c r="C429" s="20" t="s">
        <v>45</v>
      </c>
      <c r="D429" s="20" t="s">
        <v>45</v>
      </c>
      <c r="E429" s="20" t="s">
        <v>143</v>
      </c>
      <c r="F429" s="20" t="s">
        <v>4</v>
      </c>
      <c r="G429" s="40">
        <f t="shared" si="201"/>
        <v>197.4</v>
      </c>
      <c r="H429" s="40">
        <f t="shared" si="202"/>
        <v>0</v>
      </c>
      <c r="I429" s="40">
        <f t="shared" si="203"/>
        <v>0</v>
      </c>
      <c r="J429" s="1"/>
    </row>
    <row r="430" spans="1:10" ht="94.5" outlineLevel="7">
      <c r="A430" s="21" t="s">
        <v>769</v>
      </c>
      <c r="B430" s="19" t="s">
        <v>263</v>
      </c>
      <c r="C430" s="20" t="s">
        <v>45</v>
      </c>
      <c r="D430" s="20" t="s">
        <v>45</v>
      </c>
      <c r="E430" s="23">
        <v>9990055491</v>
      </c>
      <c r="F430" s="19" t="s">
        <v>4</v>
      </c>
      <c r="G430" s="40">
        <f>G431</f>
        <v>197.4</v>
      </c>
      <c r="H430" s="40">
        <f>H431</f>
        <v>0</v>
      </c>
      <c r="I430" s="40">
        <f>I431</f>
        <v>0</v>
      </c>
      <c r="J430" s="1"/>
    </row>
    <row r="431" spans="1:10" ht="130.5" customHeight="1" outlineLevel="7">
      <c r="A431" s="18" t="s">
        <v>17</v>
      </c>
      <c r="B431" s="19" t="s">
        <v>263</v>
      </c>
      <c r="C431" s="20" t="s">
        <v>45</v>
      </c>
      <c r="D431" s="20" t="s">
        <v>45</v>
      </c>
      <c r="E431" s="23">
        <v>9990055491</v>
      </c>
      <c r="F431" s="19" t="s">
        <v>18</v>
      </c>
      <c r="G431" s="40">
        <v>197.4</v>
      </c>
      <c r="H431" s="40">
        <v>0</v>
      </c>
      <c r="I431" s="40">
        <v>0</v>
      </c>
      <c r="J431" s="1"/>
    </row>
    <row r="432" spans="1:10" ht="15.75" outlineLevel="1">
      <c r="A432" s="12" t="s">
        <v>105</v>
      </c>
      <c r="B432" s="13" t="s">
        <v>263</v>
      </c>
      <c r="C432" s="14" t="s">
        <v>106</v>
      </c>
      <c r="D432" s="14" t="s">
        <v>2</v>
      </c>
      <c r="E432" s="14" t="s">
        <v>3</v>
      </c>
      <c r="F432" s="14" t="s">
        <v>4</v>
      </c>
      <c r="G432" s="38">
        <f>G433+G447</f>
        <v>53370.19</v>
      </c>
      <c r="H432" s="38">
        <f t="shared" ref="H432:I432" si="204">H433+H447</f>
        <v>56291.279000000002</v>
      </c>
      <c r="I432" s="38">
        <f t="shared" si="204"/>
        <v>49543.379000000001</v>
      </c>
      <c r="J432" s="1"/>
    </row>
    <row r="433" spans="1:10" ht="19.5" customHeight="1" outlineLevel="2">
      <c r="A433" s="15" t="s">
        <v>110</v>
      </c>
      <c r="B433" s="16" t="s">
        <v>263</v>
      </c>
      <c r="C433" s="17" t="s">
        <v>106</v>
      </c>
      <c r="D433" s="17" t="s">
        <v>81</v>
      </c>
      <c r="E433" s="17" t="s">
        <v>3</v>
      </c>
      <c r="F433" s="17" t="s">
        <v>4</v>
      </c>
      <c r="G433" s="39">
        <f>G434</f>
        <v>5085.9780000000001</v>
      </c>
      <c r="H433" s="39">
        <f t="shared" ref="H433:I433" si="205">H434</f>
        <v>5923.2790000000005</v>
      </c>
      <c r="I433" s="39">
        <f t="shared" si="205"/>
        <v>5869.2790000000005</v>
      </c>
      <c r="J433" s="1"/>
    </row>
    <row r="434" spans="1:10" ht="63" outlineLevel="3">
      <c r="A434" s="18" t="s">
        <v>265</v>
      </c>
      <c r="B434" s="19" t="s">
        <v>263</v>
      </c>
      <c r="C434" s="20" t="s">
        <v>106</v>
      </c>
      <c r="D434" s="20" t="s">
        <v>81</v>
      </c>
      <c r="E434" s="20" t="s">
        <v>266</v>
      </c>
      <c r="F434" s="20" t="s">
        <v>4</v>
      </c>
      <c r="G434" s="40">
        <f>G435</f>
        <v>5085.9780000000001</v>
      </c>
      <c r="H434" s="40">
        <f t="shared" ref="H434:I434" si="206">H435</f>
        <v>5923.2790000000005</v>
      </c>
      <c r="I434" s="40">
        <f t="shared" si="206"/>
        <v>5869.2790000000005</v>
      </c>
      <c r="J434" s="1"/>
    </row>
    <row r="435" spans="1:10" ht="47.25" outlineLevel="4">
      <c r="A435" s="18" t="s">
        <v>94</v>
      </c>
      <c r="B435" s="19" t="s">
        <v>263</v>
      </c>
      <c r="C435" s="20" t="s">
        <v>106</v>
      </c>
      <c r="D435" s="20" t="s">
        <v>81</v>
      </c>
      <c r="E435" s="20" t="s">
        <v>275</v>
      </c>
      <c r="F435" s="20" t="s">
        <v>4</v>
      </c>
      <c r="G435" s="40">
        <f>G436+G439+G442</f>
        <v>5085.9780000000001</v>
      </c>
      <c r="H435" s="40">
        <f t="shared" ref="H435:I435" si="207">H436+H439+H442</f>
        <v>5923.2790000000005</v>
      </c>
      <c r="I435" s="40">
        <f t="shared" si="207"/>
        <v>5869.2790000000005</v>
      </c>
      <c r="J435" s="1"/>
    </row>
    <row r="436" spans="1:10" ht="63" outlineLevel="5">
      <c r="A436" s="18" t="s">
        <v>312</v>
      </c>
      <c r="B436" s="19" t="s">
        <v>263</v>
      </c>
      <c r="C436" s="20" t="s">
        <v>106</v>
      </c>
      <c r="D436" s="20" t="s">
        <v>81</v>
      </c>
      <c r="E436" s="20" t="s">
        <v>313</v>
      </c>
      <c r="F436" s="20" t="s">
        <v>4</v>
      </c>
      <c r="G436" s="40">
        <f>G437</f>
        <v>0</v>
      </c>
      <c r="H436" s="40">
        <f t="shared" ref="H436:I436" si="208">H437</f>
        <v>2096.6</v>
      </c>
      <c r="I436" s="40">
        <f t="shared" si="208"/>
        <v>2042.6000000000001</v>
      </c>
      <c r="J436" s="1"/>
    </row>
    <row r="437" spans="1:10" ht="110.25" outlineLevel="6">
      <c r="A437" s="18" t="s">
        <v>314</v>
      </c>
      <c r="B437" s="19" t="s">
        <v>263</v>
      </c>
      <c r="C437" s="20" t="s">
        <v>106</v>
      </c>
      <c r="D437" s="20" t="s">
        <v>81</v>
      </c>
      <c r="E437" s="20" t="s">
        <v>315</v>
      </c>
      <c r="F437" s="20" t="s">
        <v>4</v>
      </c>
      <c r="G437" s="40">
        <f>G438</f>
        <v>0</v>
      </c>
      <c r="H437" s="40">
        <f t="shared" ref="H437:I437" si="209">H438</f>
        <v>2096.6</v>
      </c>
      <c r="I437" s="40">
        <f t="shared" si="209"/>
        <v>2042.6000000000001</v>
      </c>
      <c r="J437" s="1"/>
    </row>
    <row r="438" spans="1:10" ht="31.5" outlineLevel="7">
      <c r="A438" s="18" t="s">
        <v>42</v>
      </c>
      <c r="B438" s="19" t="s">
        <v>263</v>
      </c>
      <c r="C438" s="20" t="s">
        <v>106</v>
      </c>
      <c r="D438" s="20" t="s">
        <v>81</v>
      </c>
      <c r="E438" s="20" t="s">
        <v>315</v>
      </c>
      <c r="F438" s="20" t="s">
        <v>43</v>
      </c>
      <c r="G438" s="40">
        <f>1211.6-1211.6</f>
        <v>0</v>
      </c>
      <c r="H438" s="40">
        <f>763.1+1438.3-104.8</f>
        <v>2096.6</v>
      </c>
      <c r="I438" s="40">
        <f>981.7+439.2+621.7</f>
        <v>2042.6000000000001</v>
      </c>
      <c r="J438" s="1"/>
    </row>
    <row r="439" spans="1:10" ht="174.75" customHeight="1" outlineLevel="5">
      <c r="A439" s="18" t="s">
        <v>316</v>
      </c>
      <c r="B439" s="19" t="s">
        <v>263</v>
      </c>
      <c r="C439" s="20" t="s">
        <v>106</v>
      </c>
      <c r="D439" s="20" t="s">
        <v>81</v>
      </c>
      <c r="E439" s="20" t="s">
        <v>317</v>
      </c>
      <c r="F439" s="20" t="s">
        <v>4</v>
      </c>
      <c r="G439" s="40">
        <f>G440</f>
        <v>1595.29</v>
      </c>
      <c r="H439" s="40">
        <f t="shared" ref="H439:I439" si="210">H440</f>
        <v>1518.9870000000001</v>
      </c>
      <c r="I439" s="40">
        <f t="shared" si="210"/>
        <v>1518.9870000000001</v>
      </c>
      <c r="J439" s="1"/>
    </row>
    <row r="440" spans="1:10" ht="142.5" customHeight="1" outlineLevel="6">
      <c r="A440" s="18" t="s">
        <v>318</v>
      </c>
      <c r="B440" s="19" t="s">
        <v>263</v>
      </c>
      <c r="C440" s="20" t="s">
        <v>106</v>
      </c>
      <c r="D440" s="20" t="s">
        <v>81</v>
      </c>
      <c r="E440" s="20" t="s">
        <v>319</v>
      </c>
      <c r="F440" s="20" t="s">
        <v>4</v>
      </c>
      <c r="G440" s="40">
        <f>G441</f>
        <v>1595.29</v>
      </c>
      <c r="H440" s="40">
        <f t="shared" ref="H440:I440" si="211">H441</f>
        <v>1518.9870000000001</v>
      </c>
      <c r="I440" s="40">
        <f t="shared" si="211"/>
        <v>1518.9870000000001</v>
      </c>
      <c r="J440" s="1"/>
    </row>
    <row r="441" spans="1:10" ht="31.5" outlineLevel="7">
      <c r="A441" s="18" t="s">
        <v>42</v>
      </c>
      <c r="B441" s="19" t="s">
        <v>263</v>
      </c>
      <c r="C441" s="20" t="s">
        <v>106</v>
      </c>
      <c r="D441" s="20" t="s">
        <v>81</v>
      </c>
      <c r="E441" s="20" t="s">
        <v>319</v>
      </c>
      <c r="F441" s="20" t="s">
        <v>43</v>
      </c>
      <c r="G441" s="40">
        <f>797.645+797.645</f>
        <v>1595.29</v>
      </c>
      <c r="H441" s="40">
        <v>1518.9870000000001</v>
      </c>
      <c r="I441" s="40">
        <v>1518.9870000000001</v>
      </c>
      <c r="J441" s="1"/>
    </row>
    <row r="442" spans="1:10" ht="47.25" outlineLevel="5">
      <c r="A442" s="18" t="s">
        <v>320</v>
      </c>
      <c r="B442" s="19" t="s">
        <v>263</v>
      </c>
      <c r="C442" s="20" t="s">
        <v>106</v>
      </c>
      <c r="D442" s="20" t="s">
        <v>81</v>
      </c>
      <c r="E442" s="20" t="s">
        <v>321</v>
      </c>
      <c r="F442" s="20" t="s">
        <v>4</v>
      </c>
      <c r="G442" s="40">
        <f>G443+G445</f>
        <v>3490.6880000000001</v>
      </c>
      <c r="H442" s="40">
        <f t="shared" ref="H442:I442" si="212">H443+H445</f>
        <v>2307.692</v>
      </c>
      <c r="I442" s="40">
        <f t="shared" si="212"/>
        <v>2307.692</v>
      </c>
      <c r="J442" s="1"/>
    </row>
    <row r="443" spans="1:10" ht="31.5" outlineLevel="6">
      <c r="A443" s="18" t="s">
        <v>322</v>
      </c>
      <c r="B443" s="19" t="s">
        <v>263</v>
      </c>
      <c r="C443" s="20" t="s">
        <v>106</v>
      </c>
      <c r="D443" s="20" t="s">
        <v>81</v>
      </c>
      <c r="E443" s="20" t="s">
        <v>323</v>
      </c>
      <c r="F443" s="20" t="s">
        <v>4</v>
      </c>
      <c r="G443" s="40">
        <f>G444</f>
        <v>3035.6880000000001</v>
      </c>
      <c r="H443" s="40">
        <f t="shared" ref="H443:I443" si="213">H444</f>
        <v>2007.692</v>
      </c>
      <c r="I443" s="40">
        <f t="shared" si="213"/>
        <v>2007.692</v>
      </c>
      <c r="J443" s="1"/>
    </row>
    <row r="444" spans="1:10" ht="31.5" outlineLevel="7">
      <c r="A444" s="18" t="s">
        <v>42</v>
      </c>
      <c r="B444" s="19" t="s">
        <v>263</v>
      </c>
      <c r="C444" s="20" t="s">
        <v>106</v>
      </c>
      <c r="D444" s="20" t="s">
        <v>81</v>
      </c>
      <c r="E444" s="20" t="s">
        <v>323</v>
      </c>
      <c r="F444" s="20" t="s">
        <v>43</v>
      </c>
      <c r="G444" s="40">
        <f>3238.5-202.812</f>
        <v>3035.6880000000001</v>
      </c>
      <c r="H444" s="40">
        <v>2007.692</v>
      </c>
      <c r="I444" s="40">
        <v>2007.692</v>
      </c>
      <c r="J444" s="1"/>
    </row>
    <row r="445" spans="1:10" ht="31.5" outlineLevel="6">
      <c r="A445" s="18" t="s">
        <v>322</v>
      </c>
      <c r="B445" s="19" t="s">
        <v>263</v>
      </c>
      <c r="C445" s="20" t="s">
        <v>106</v>
      </c>
      <c r="D445" s="20" t="s">
        <v>81</v>
      </c>
      <c r="E445" s="20" t="s">
        <v>324</v>
      </c>
      <c r="F445" s="20" t="s">
        <v>4</v>
      </c>
      <c r="G445" s="40">
        <f>G446</f>
        <v>455</v>
      </c>
      <c r="H445" s="40">
        <f t="shared" ref="H445:I445" si="214">H446</f>
        <v>300</v>
      </c>
      <c r="I445" s="40">
        <f t="shared" si="214"/>
        <v>300</v>
      </c>
      <c r="J445" s="1"/>
    </row>
    <row r="446" spans="1:10" ht="31.5" outlineLevel="7">
      <c r="A446" s="18" t="s">
        <v>42</v>
      </c>
      <c r="B446" s="19" t="s">
        <v>263</v>
      </c>
      <c r="C446" s="20" t="s">
        <v>106</v>
      </c>
      <c r="D446" s="20" t="s">
        <v>81</v>
      </c>
      <c r="E446" s="20" t="s">
        <v>324</v>
      </c>
      <c r="F446" s="20" t="s">
        <v>43</v>
      </c>
      <c r="G446" s="40">
        <f>484-29</f>
        <v>455</v>
      </c>
      <c r="H446" s="40">
        <v>300</v>
      </c>
      <c r="I446" s="40">
        <v>300</v>
      </c>
      <c r="J446" s="1"/>
    </row>
    <row r="447" spans="1:10" ht="15.75" outlineLevel="2">
      <c r="A447" s="15" t="s">
        <v>325</v>
      </c>
      <c r="B447" s="16" t="s">
        <v>263</v>
      </c>
      <c r="C447" s="17" t="s">
        <v>106</v>
      </c>
      <c r="D447" s="17" t="s">
        <v>20</v>
      </c>
      <c r="E447" s="17" t="s">
        <v>3</v>
      </c>
      <c r="F447" s="17" t="s">
        <v>4</v>
      </c>
      <c r="G447" s="39">
        <f>G448</f>
        <v>48284.212</v>
      </c>
      <c r="H447" s="39">
        <f t="shared" ref="H447:I447" si="215">H448</f>
        <v>50368</v>
      </c>
      <c r="I447" s="39">
        <f t="shared" si="215"/>
        <v>43674.1</v>
      </c>
      <c r="J447" s="1"/>
    </row>
    <row r="448" spans="1:10" ht="63" outlineLevel="3">
      <c r="A448" s="18" t="s">
        <v>265</v>
      </c>
      <c r="B448" s="19" t="s">
        <v>263</v>
      </c>
      <c r="C448" s="20" t="s">
        <v>106</v>
      </c>
      <c r="D448" s="20" t="s">
        <v>20</v>
      </c>
      <c r="E448" s="20" t="s">
        <v>266</v>
      </c>
      <c r="F448" s="20" t="s">
        <v>4</v>
      </c>
      <c r="G448" s="40">
        <f>G449+G453</f>
        <v>48284.212</v>
      </c>
      <c r="H448" s="40">
        <f t="shared" ref="H448:I448" si="216">H449+H453</f>
        <v>50368</v>
      </c>
      <c r="I448" s="40">
        <f t="shared" si="216"/>
        <v>43674.1</v>
      </c>
      <c r="J448" s="1"/>
    </row>
    <row r="449" spans="1:10" ht="47.25" outlineLevel="4">
      <c r="A449" s="18" t="s">
        <v>94</v>
      </c>
      <c r="B449" s="19" t="s">
        <v>263</v>
      </c>
      <c r="C449" s="20" t="s">
        <v>106</v>
      </c>
      <c r="D449" s="20" t="s">
        <v>20</v>
      </c>
      <c r="E449" s="20" t="s">
        <v>275</v>
      </c>
      <c r="F449" s="20" t="s">
        <v>4</v>
      </c>
      <c r="G449" s="40">
        <f>G450</f>
        <v>10736.2</v>
      </c>
      <c r="H449" s="40">
        <f t="shared" ref="H449:I451" si="217">H450</f>
        <v>12447.6</v>
      </c>
      <c r="I449" s="40">
        <f t="shared" si="217"/>
        <v>12348.6</v>
      </c>
      <c r="J449" s="1"/>
    </row>
    <row r="450" spans="1:10" ht="63" outlineLevel="5">
      <c r="A450" s="18" t="s">
        <v>326</v>
      </c>
      <c r="B450" s="19" t="s">
        <v>263</v>
      </c>
      <c r="C450" s="20" t="s">
        <v>106</v>
      </c>
      <c r="D450" s="20" t="s">
        <v>20</v>
      </c>
      <c r="E450" s="20" t="s">
        <v>327</v>
      </c>
      <c r="F450" s="20" t="s">
        <v>4</v>
      </c>
      <c r="G450" s="40">
        <f>G451</f>
        <v>10736.2</v>
      </c>
      <c r="H450" s="40">
        <f t="shared" si="217"/>
        <v>12447.6</v>
      </c>
      <c r="I450" s="40">
        <f t="shared" si="217"/>
        <v>12348.6</v>
      </c>
      <c r="J450" s="1"/>
    </row>
    <row r="451" spans="1:10" ht="31.5" outlineLevel="6">
      <c r="A451" s="18" t="s">
        <v>328</v>
      </c>
      <c r="B451" s="19" t="s">
        <v>263</v>
      </c>
      <c r="C451" s="20" t="s">
        <v>106</v>
      </c>
      <c r="D451" s="20" t="s">
        <v>20</v>
      </c>
      <c r="E451" s="20" t="s">
        <v>329</v>
      </c>
      <c r="F451" s="20" t="s">
        <v>4</v>
      </c>
      <c r="G451" s="40">
        <f>G452</f>
        <v>10736.2</v>
      </c>
      <c r="H451" s="40">
        <f t="shared" si="217"/>
        <v>12447.6</v>
      </c>
      <c r="I451" s="40">
        <f t="shared" si="217"/>
        <v>12348.6</v>
      </c>
      <c r="J451" s="1"/>
    </row>
    <row r="452" spans="1:10" ht="31.5" outlineLevel="7">
      <c r="A452" s="18" t="s">
        <v>42</v>
      </c>
      <c r="B452" s="19" t="s">
        <v>263</v>
      </c>
      <c r="C452" s="20" t="s">
        <v>106</v>
      </c>
      <c r="D452" s="20" t="s">
        <v>20</v>
      </c>
      <c r="E452" s="20" t="s">
        <v>329</v>
      </c>
      <c r="F452" s="20" t="s">
        <v>43</v>
      </c>
      <c r="G452" s="40">
        <f>11282.2-401-145</f>
        <v>10736.2</v>
      </c>
      <c r="H452" s="40">
        <v>12447.6</v>
      </c>
      <c r="I452" s="40">
        <v>12348.6</v>
      </c>
      <c r="J452" s="1"/>
    </row>
    <row r="453" spans="1:10" ht="31.5" outlineLevel="4">
      <c r="A453" s="18" t="s">
        <v>11</v>
      </c>
      <c r="B453" s="19" t="s">
        <v>263</v>
      </c>
      <c r="C453" s="20" t="s">
        <v>106</v>
      </c>
      <c r="D453" s="20" t="s">
        <v>20</v>
      </c>
      <c r="E453" s="20" t="s">
        <v>281</v>
      </c>
      <c r="F453" s="20" t="s">
        <v>4</v>
      </c>
      <c r="G453" s="40">
        <f>G454</f>
        <v>37548.011999999995</v>
      </c>
      <c r="H453" s="40">
        <f t="shared" ref="H453:I455" si="218">H454</f>
        <v>37920.400000000001</v>
      </c>
      <c r="I453" s="40">
        <f t="shared" si="218"/>
        <v>31325.5</v>
      </c>
      <c r="J453" s="1"/>
    </row>
    <row r="454" spans="1:10" ht="94.5" outlineLevel="5">
      <c r="A454" s="18" t="s">
        <v>330</v>
      </c>
      <c r="B454" s="19" t="s">
        <v>263</v>
      </c>
      <c r="C454" s="20" t="s">
        <v>106</v>
      </c>
      <c r="D454" s="20" t="s">
        <v>20</v>
      </c>
      <c r="E454" s="20" t="s">
        <v>331</v>
      </c>
      <c r="F454" s="20" t="s">
        <v>4</v>
      </c>
      <c r="G454" s="40">
        <f>G455+G457</f>
        <v>37548.011999999995</v>
      </c>
      <c r="H454" s="40">
        <f>H455+H457</f>
        <v>37920.400000000001</v>
      </c>
      <c r="I454" s="40">
        <f>I455+I457</f>
        <v>31325.5</v>
      </c>
      <c r="J454" s="1"/>
    </row>
    <row r="455" spans="1:10" ht="96.75" customHeight="1" outlineLevel="6">
      <c r="A455" s="18" t="s">
        <v>332</v>
      </c>
      <c r="B455" s="19" t="s">
        <v>263</v>
      </c>
      <c r="C455" s="20" t="s">
        <v>106</v>
      </c>
      <c r="D455" s="20" t="s">
        <v>20</v>
      </c>
      <c r="E455" s="20" t="s">
        <v>333</v>
      </c>
      <c r="F455" s="20" t="s">
        <v>4</v>
      </c>
      <c r="G455" s="40">
        <f>G456</f>
        <v>32601.902909999997</v>
      </c>
      <c r="H455" s="40">
        <f t="shared" si="218"/>
        <v>32974.300000000003</v>
      </c>
      <c r="I455" s="40">
        <f t="shared" si="218"/>
        <v>26379.4</v>
      </c>
      <c r="J455" s="1"/>
    </row>
    <row r="456" spans="1:10" ht="47.25" outlineLevel="7">
      <c r="A456" s="18" t="s">
        <v>187</v>
      </c>
      <c r="B456" s="19" t="s">
        <v>263</v>
      </c>
      <c r="C456" s="20" t="s">
        <v>106</v>
      </c>
      <c r="D456" s="20" t="s">
        <v>20</v>
      </c>
      <c r="E456" s="20" t="s">
        <v>333</v>
      </c>
      <c r="F456" s="20" t="s">
        <v>188</v>
      </c>
      <c r="G456" s="40">
        <f>29676.8-4946.1+6793.312-0.00909+1077.9</f>
        <v>32601.902909999997</v>
      </c>
      <c r="H456" s="40">
        <f>37920.4-4946.1</f>
        <v>32974.300000000003</v>
      </c>
      <c r="I456" s="40">
        <f>31325.5-4946.1</f>
        <v>26379.4</v>
      </c>
      <c r="J456" s="1"/>
    </row>
    <row r="457" spans="1:10" ht="96.75" customHeight="1" outlineLevel="7">
      <c r="A457" s="18" t="s">
        <v>332</v>
      </c>
      <c r="B457" s="19" t="s">
        <v>263</v>
      </c>
      <c r="C457" s="20" t="s">
        <v>106</v>
      </c>
      <c r="D457" s="20" t="s">
        <v>20</v>
      </c>
      <c r="E457" s="20" t="s">
        <v>653</v>
      </c>
      <c r="F457" s="20" t="s">
        <v>4</v>
      </c>
      <c r="G457" s="40">
        <f>G458</f>
        <v>4946.1090899999999</v>
      </c>
      <c r="H457" s="40">
        <f t="shared" ref="H457:I457" si="219">H458</f>
        <v>4946.1000000000004</v>
      </c>
      <c r="I457" s="40">
        <f t="shared" si="219"/>
        <v>4946.1000000000004</v>
      </c>
      <c r="J457" s="1"/>
    </row>
    <row r="458" spans="1:10" ht="47.25" outlineLevel="7">
      <c r="A458" s="18" t="s">
        <v>187</v>
      </c>
      <c r="B458" s="19" t="s">
        <v>263</v>
      </c>
      <c r="C458" s="20" t="s">
        <v>106</v>
      </c>
      <c r="D458" s="20" t="s">
        <v>20</v>
      </c>
      <c r="E458" s="20" t="s">
        <v>653</v>
      </c>
      <c r="F458" s="20" t="s">
        <v>188</v>
      </c>
      <c r="G458" s="40">
        <f>4946.1+0.00909</f>
        <v>4946.1090899999999</v>
      </c>
      <c r="H458" s="40">
        <v>4946.1000000000004</v>
      </c>
      <c r="I458" s="40">
        <v>4946.1000000000004</v>
      </c>
      <c r="J458" s="1"/>
    </row>
    <row r="459" spans="1:10" ht="31.5">
      <c r="A459" s="12" t="s">
        <v>334</v>
      </c>
      <c r="B459" s="13" t="s">
        <v>335</v>
      </c>
      <c r="C459" s="14" t="s">
        <v>2</v>
      </c>
      <c r="D459" s="14" t="s">
        <v>2</v>
      </c>
      <c r="E459" s="14" t="s">
        <v>3</v>
      </c>
      <c r="F459" s="14" t="s">
        <v>4</v>
      </c>
      <c r="G459" s="38">
        <f>G467+G478+G542+G460</f>
        <v>203188.17900000003</v>
      </c>
      <c r="H459" s="38">
        <f t="shared" ref="H459:I459" si="220">H467+H478+H542</f>
        <v>170028.19999999998</v>
      </c>
      <c r="I459" s="38">
        <f t="shared" si="220"/>
        <v>170028.19999999998</v>
      </c>
      <c r="J459" s="1"/>
    </row>
    <row r="460" spans="1:10" ht="15.75">
      <c r="A460" s="33" t="s">
        <v>757</v>
      </c>
      <c r="B460" s="27" t="s">
        <v>335</v>
      </c>
      <c r="C460" s="13" t="s">
        <v>20</v>
      </c>
      <c r="D460" s="14" t="s">
        <v>2</v>
      </c>
      <c r="E460" s="14" t="s">
        <v>3</v>
      </c>
      <c r="F460" s="14" t="s">
        <v>4</v>
      </c>
      <c r="G460" s="38">
        <f t="shared" ref="G460:G465" si="221">G461</f>
        <v>5000</v>
      </c>
      <c r="H460" s="38">
        <f t="shared" ref="H460:I465" si="222">H461</f>
        <v>0</v>
      </c>
      <c r="I460" s="38">
        <f t="shared" si="222"/>
        <v>0</v>
      </c>
      <c r="J460" s="1"/>
    </row>
    <row r="461" spans="1:10" ht="31.5">
      <c r="A461" s="34" t="s">
        <v>758</v>
      </c>
      <c r="B461" s="29">
        <v>758</v>
      </c>
      <c r="C461" s="16" t="s">
        <v>20</v>
      </c>
      <c r="D461" s="16" t="s">
        <v>93</v>
      </c>
      <c r="E461" s="17" t="s">
        <v>3</v>
      </c>
      <c r="F461" s="17" t="s">
        <v>4</v>
      </c>
      <c r="G461" s="39">
        <f t="shared" si="221"/>
        <v>5000</v>
      </c>
      <c r="H461" s="39">
        <f t="shared" si="222"/>
        <v>0</v>
      </c>
      <c r="I461" s="39">
        <f t="shared" si="222"/>
        <v>0</v>
      </c>
      <c r="J461" s="1"/>
    </row>
    <row r="462" spans="1:10" ht="59.25" customHeight="1">
      <c r="A462" s="18" t="s">
        <v>339</v>
      </c>
      <c r="B462" s="19" t="s">
        <v>335</v>
      </c>
      <c r="C462" s="19" t="s">
        <v>20</v>
      </c>
      <c r="D462" s="19" t="s">
        <v>93</v>
      </c>
      <c r="E462" s="20" t="s">
        <v>340</v>
      </c>
      <c r="F462" s="20" t="s">
        <v>4</v>
      </c>
      <c r="G462" s="40">
        <f t="shared" si="221"/>
        <v>5000</v>
      </c>
      <c r="H462" s="40">
        <f t="shared" si="222"/>
        <v>0</v>
      </c>
      <c r="I462" s="40">
        <f t="shared" si="222"/>
        <v>0</v>
      </c>
      <c r="J462" s="1"/>
    </row>
    <row r="463" spans="1:10" ht="47.25">
      <c r="A463" s="18" t="s">
        <v>94</v>
      </c>
      <c r="B463" s="19" t="s">
        <v>335</v>
      </c>
      <c r="C463" s="19" t="s">
        <v>20</v>
      </c>
      <c r="D463" s="19" t="s">
        <v>93</v>
      </c>
      <c r="E463" s="20" t="s">
        <v>341</v>
      </c>
      <c r="F463" s="20" t="s">
        <v>4</v>
      </c>
      <c r="G463" s="40">
        <f t="shared" si="221"/>
        <v>5000</v>
      </c>
      <c r="H463" s="40">
        <f t="shared" si="222"/>
        <v>0</v>
      </c>
      <c r="I463" s="40">
        <f t="shared" si="222"/>
        <v>0</v>
      </c>
      <c r="J463" s="1"/>
    </row>
    <row r="464" spans="1:10" ht="63">
      <c r="A464" s="25" t="s">
        <v>760</v>
      </c>
      <c r="B464" s="19" t="s">
        <v>335</v>
      </c>
      <c r="C464" s="19" t="s">
        <v>20</v>
      </c>
      <c r="D464" s="19" t="s">
        <v>93</v>
      </c>
      <c r="E464" s="19" t="s">
        <v>759</v>
      </c>
      <c r="F464" s="20" t="s">
        <v>4</v>
      </c>
      <c r="G464" s="40">
        <f t="shared" si="221"/>
        <v>5000</v>
      </c>
      <c r="H464" s="40">
        <f t="shared" si="222"/>
        <v>0</v>
      </c>
      <c r="I464" s="40">
        <f t="shared" si="222"/>
        <v>0</v>
      </c>
      <c r="J464" s="1"/>
    </row>
    <row r="465" spans="1:10" ht="47.25">
      <c r="A465" s="21" t="s">
        <v>762</v>
      </c>
      <c r="B465" s="22" t="s">
        <v>335</v>
      </c>
      <c r="C465" s="19" t="s">
        <v>20</v>
      </c>
      <c r="D465" s="19" t="s">
        <v>93</v>
      </c>
      <c r="E465" s="19" t="s">
        <v>761</v>
      </c>
      <c r="F465" s="20" t="s">
        <v>4</v>
      </c>
      <c r="G465" s="40">
        <f t="shared" si="221"/>
        <v>5000</v>
      </c>
      <c r="H465" s="40">
        <f t="shared" si="222"/>
        <v>0</v>
      </c>
      <c r="I465" s="40">
        <f t="shared" si="222"/>
        <v>0</v>
      </c>
      <c r="J465" s="1"/>
    </row>
    <row r="466" spans="1:10" ht="93.75" customHeight="1">
      <c r="A466" s="18" t="s">
        <v>103</v>
      </c>
      <c r="B466" s="19" t="s">
        <v>335</v>
      </c>
      <c r="C466" s="19" t="s">
        <v>20</v>
      </c>
      <c r="D466" s="19" t="s">
        <v>93</v>
      </c>
      <c r="E466" s="19" t="s">
        <v>761</v>
      </c>
      <c r="F466" s="19" t="s">
        <v>104</v>
      </c>
      <c r="G466" s="40">
        <v>5000</v>
      </c>
      <c r="H466" s="40">
        <v>0</v>
      </c>
      <c r="I466" s="40">
        <v>0</v>
      </c>
      <c r="J466" s="1"/>
    </row>
    <row r="467" spans="1:10" ht="15.75" outlineLevel="1">
      <c r="A467" s="12" t="s">
        <v>336</v>
      </c>
      <c r="B467" s="13" t="s">
        <v>335</v>
      </c>
      <c r="C467" s="14" t="s">
        <v>337</v>
      </c>
      <c r="D467" s="14" t="s">
        <v>2</v>
      </c>
      <c r="E467" s="14" t="s">
        <v>3</v>
      </c>
      <c r="F467" s="14" t="s">
        <v>4</v>
      </c>
      <c r="G467" s="38">
        <f>G468</f>
        <v>53325.650199999989</v>
      </c>
      <c r="H467" s="38">
        <f t="shared" ref="H467:I468" si="223">H468</f>
        <v>48555</v>
      </c>
      <c r="I467" s="38">
        <f t="shared" si="223"/>
        <v>48555</v>
      </c>
      <c r="J467" s="1"/>
    </row>
    <row r="468" spans="1:10" ht="31.5" outlineLevel="2">
      <c r="A468" s="15" t="s">
        <v>338</v>
      </c>
      <c r="B468" s="16" t="s">
        <v>335</v>
      </c>
      <c r="C468" s="17" t="s">
        <v>337</v>
      </c>
      <c r="D468" s="17" t="s">
        <v>81</v>
      </c>
      <c r="E468" s="17" t="s">
        <v>3</v>
      </c>
      <c r="F468" s="17" t="s">
        <v>4</v>
      </c>
      <c r="G468" s="39">
        <f>G469</f>
        <v>53325.650199999989</v>
      </c>
      <c r="H468" s="39">
        <f t="shared" si="223"/>
        <v>48555</v>
      </c>
      <c r="I468" s="39">
        <f t="shared" si="223"/>
        <v>48555</v>
      </c>
      <c r="J468" s="1"/>
    </row>
    <row r="469" spans="1:10" ht="47.25" outlineLevel="3">
      <c r="A469" s="18" t="s">
        <v>339</v>
      </c>
      <c r="B469" s="19" t="s">
        <v>335</v>
      </c>
      <c r="C469" s="20" t="s">
        <v>337</v>
      </c>
      <c r="D469" s="20" t="s">
        <v>81</v>
      </c>
      <c r="E469" s="20" t="s">
        <v>340</v>
      </c>
      <c r="F469" s="20" t="s">
        <v>4</v>
      </c>
      <c r="G469" s="40">
        <f>G470+G474</f>
        <v>53325.650199999989</v>
      </c>
      <c r="H469" s="40">
        <f t="shared" ref="H469:I469" si="224">H470+H474</f>
        <v>48555</v>
      </c>
      <c r="I469" s="40">
        <f t="shared" si="224"/>
        <v>48555</v>
      </c>
      <c r="J469" s="1"/>
    </row>
    <row r="470" spans="1:10" ht="47.25" outlineLevel="4">
      <c r="A470" s="18" t="s">
        <v>94</v>
      </c>
      <c r="B470" s="19" t="s">
        <v>335</v>
      </c>
      <c r="C470" s="20" t="s">
        <v>337</v>
      </c>
      <c r="D470" s="20" t="s">
        <v>81</v>
      </c>
      <c r="E470" s="20" t="s">
        <v>341</v>
      </c>
      <c r="F470" s="20" t="s">
        <v>4</v>
      </c>
      <c r="G470" s="40">
        <f>G471</f>
        <v>14361.1</v>
      </c>
      <c r="H470" s="40">
        <f t="shared" ref="H470:I472" si="225">H471</f>
        <v>10500</v>
      </c>
      <c r="I470" s="40">
        <f t="shared" si="225"/>
        <v>10500</v>
      </c>
      <c r="J470" s="1"/>
    </row>
    <row r="471" spans="1:10" ht="47.25" outlineLevel="5">
      <c r="A471" s="18" t="s">
        <v>342</v>
      </c>
      <c r="B471" s="19" t="s">
        <v>335</v>
      </c>
      <c r="C471" s="20" t="s">
        <v>337</v>
      </c>
      <c r="D471" s="20" t="s">
        <v>81</v>
      </c>
      <c r="E471" s="20" t="s">
        <v>343</v>
      </c>
      <c r="F471" s="20" t="s">
        <v>4</v>
      </c>
      <c r="G471" s="40">
        <f>G472</f>
        <v>14361.1</v>
      </c>
      <c r="H471" s="40">
        <f t="shared" si="225"/>
        <v>10500</v>
      </c>
      <c r="I471" s="40">
        <f t="shared" si="225"/>
        <v>10500</v>
      </c>
      <c r="J471" s="1"/>
    </row>
    <row r="472" spans="1:10" ht="126" outlineLevel="6">
      <c r="A472" s="18" t="s">
        <v>344</v>
      </c>
      <c r="B472" s="19" t="s">
        <v>335</v>
      </c>
      <c r="C472" s="20" t="s">
        <v>337</v>
      </c>
      <c r="D472" s="20" t="s">
        <v>81</v>
      </c>
      <c r="E472" s="20" t="s">
        <v>345</v>
      </c>
      <c r="F472" s="20" t="s">
        <v>4</v>
      </c>
      <c r="G472" s="40">
        <f>G473</f>
        <v>14361.1</v>
      </c>
      <c r="H472" s="40">
        <f t="shared" si="225"/>
        <v>10500</v>
      </c>
      <c r="I472" s="40">
        <f t="shared" si="225"/>
        <v>10500</v>
      </c>
      <c r="J472" s="1"/>
    </row>
    <row r="473" spans="1:10" ht="64.5" customHeight="1" outlineLevel="7">
      <c r="A473" s="18" t="s">
        <v>103</v>
      </c>
      <c r="B473" s="19" t="s">
        <v>335</v>
      </c>
      <c r="C473" s="20" t="s">
        <v>337</v>
      </c>
      <c r="D473" s="20" t="s">
        <v>81</v>
      </c>
      <c r="E473" s="20" t="s">
        <v>345</v>
      </c>
      <c r="F473" s="20" t="s">
        <v>104</v>
      </c>
      <c r="G473" s="40">
        <f>10500+1311.1+350+2200</f>
        <v>14361.1</v>
      </c>
      <c r="H473" s="40">
        <v>10500</v>
      </c>
      <c r="I473" s="40">
        <v>10500</v>
      </c>
      <c r="J473" s="1"/>
    </row>
    <row r="474" spans="1:10" ht="31.5" outlineLevel="4">
      <c r="A474" s="18" t="s">
        <v>11</v>
      </c>
      <c r="B474" s="19" t="s">
        <v>335</v>
      </c>
      <c r="C474" s="20" t="s">
        <v>337</v>
      </c>
      <c r="D474" s="20" t="s">
        <v>81</v>
      </c>
      <c r="E474" s="20" t="s">
        <v>346</v>
      </c>
      <c r="F474" s="20" t="s">
        <v>4</v>
      </c>
      <c r="G474" s="40">
        <f>G475</f>
        <v>38964.550199999991</v>
      </c>
      <c r="H474" s="40">
        <f t="shared" ref="H474:I475" si="226">H475</f>
        <v>38055</v>
      </c>
      <c r="I474" s="40">
        <f t="shared" si="226"/>
        <v>38055</v>
      </c>
      <c r="J474" s="1"/>
    </row>
    <row r="475" spans="1:10" ht="110.25" outlineLevel="5">
      <c r="A475" s="18" t="s">
        <v>347</v>
      </c>
      <c r="B475" s="19" t="s">
        <v>335</v>
      </c>
      <c r="C475" s="20" t="s">
        <v>337</v>
      </c>
      <c r="D475" s="20" t="s">
        <v>81</v>
      </c>
      <c r="E475" s="20" t="s">
        <v>348</v>
      </c>
      <c r="F475" s="20" t="s">
        <v>4</v>
      </c>
      <c r="G475" s="40">
        <f>G476</f>
        <v>38964.550199999991</v>
      </c>
      <c r="H475" s="40">
        <f t="shared" si="226"/>
        <v>38055</v>
      </c>
      <c r="I475" s="40">
        <f t="shared" si="226"/>
        <v>38055</v>
      </c>
      <c r="J475" s="1"/>
    </row>
    <row r="476" spans="1:10" ht="63" outlineLevel="6">
      <c r="A476" s="18" t="s">
        <v>349</v>
      </c>
      <c r="B476" s="19" t="s">
        <v>335</v>
      </c>
      <c r="C476" s="20" t="s">
        <v>337</v>
      </c>
      <c r="D476" s="20" t="s">
        <v>81</v>
      </c>
      <c r="E476" s="20" t="s">
        <v>350</v>
      </c>
      <c r="F476" s="20" t="s">
        <v>4</v>
      </c>
      <c r="G476" s="40">
        <f>G477</f>
        <v>38964.550199999991</v>
      </c>
      <c r="H476" s="40">
        <f t="shared" ref="H476:I476" si="227">H477</f>
        <v>38055</v>
      </c>
      <c r="I476" s="40">
        <f t="shared" si="227"/>
        <v>38055</v>
      </c>
      <c r="J476" s="1"/>
    </row>
    <row r="477" spans="1:10" ht="67.5" customHeight="1" outlineLevel="7">
      <c r="A477" s="18" t="s">
        <v>103</v>
      </c>
      <c r="B477" s="19" t="s">
        <v>335</v>
      </c>
      <c r="C477" s="20" t="s">
        <v>337</v>
      </c>
      <c r="D477" s="20" t="s">
        <v>81</v>
      </c>
      <c r="E477" s="20" t="s">
        <v>350</v>
      </c>
      <c r="F477" s="20" t="s">
        <v>104</v>
      </c>
      <c r="G477" s="40">
        <f>38055+196+109.6+367.2+326.7-89.9498</f>
        <v>38964.550199999991</v>
      </c>
      <c r="H477" s="40">
        <v>38055</v>
      </c>
      <c r="I477" s="40">
        <v>38055</v>
      </c>
      <c r="J477" s="1"/>
    </row>
    <row r="478" spans="1:10" ht="31.5" outlineLevel="1">
      <c r="A478" s="12" t="s">
        <v>351</v>
      </c>
      <c r="B478" s="13" t="s">
        <v>335</v>
      </c>
      <c r="C478" s="14" t="s">
        <v>352</v>
      </c>
      <c r="D478" s="14" t="s">
        <v>2</v>
      </c>
      <c r="E478" s="14" t="s">
        <v>3</v>
      </c>
      <c r="F478" s="14" t="s">
        <v>4</v>
      </c>
      <c r="G478" s="38">
        <f>G479+G524</f>
        <v>144782.42880000002</v>
      </c>
      <c r="H478" s="38">
        <f t="shared" ref="H478:I478" si="228">H479+H524</f>
        <v>121403.09999999999</v>
      </c>
      <c r="I478" s="38">
        <f t="shared" si="228"/>
        <v>121403.09999999999</v>
      </c>
      <c r="J478" s="1"/>
    </row>
    <row r="479" spans="1:10" ht="15.75" outlineLevel="2">
      <c r="A479" s="15" t="s">
        <v>353</v>
      </c>
      <c r="B479" s="16" t="s">
        <v>335</v>
      </c>
      <c r="C479" s="17" t="s">
        <v>352</v>
      </c>
      <c r="D479" s="17" t="s">
        <v>6</v>
      </c>
      <c r="E479" s="17" t="s">
        <v>3</v>
      </c>
      <c r="F479" s="17" t="s">
        <v>4</v>
      </c>
      <c r="G479" s="39">
        <f>G480+G485</f>
        <v>131166.92914000002</v>
      </c>
      <c r="H479" s="39">
        <f t="shared" ref="H479:I479" si="229">H480+H485</f>
        <v>109765.4</v>
      </c>
      <c r="I479" s="39">
        <f t="shared" si="229"/>
        <v>109765.4</v>
      </c>
      <c r="J479" s="1"/>
    </row>
    <row r="480" spans="1:10" ht="78.75" outlineLevel="3">
      <c r="A480" s="18" t="s">
        <v>354</v>
      </c>
      <c r="B480" s="19" t="s">
        <v>335</v>
      </c>
      <c r="C480" s="20" t="s">
        <v>352</v>
      </c>
      <c r="D480" s="20" t="s">
        <v>6</v>
      </c>
      <c r="E480" s="20" t="s">
        <v>355</v>
      </c>
      <c r="F480" s="20" t="s">
        <v>4</v>
      </c>
      <c r="G480" s="40">
        <f>G481</f>
        <v>100</v>
      </c>
      <c r="H480" s="40">
        <f t="shared" ref="H480:I483" si="230">H481</f>
        <v>100</v>
      </c>
      <c r="I480" s="40">
        <f t="shared" si="230"/>
        <v>100</v>
      </c>
      <c r="J480" s="1"/>
    </row>
    <row r="481" spans="1:10" ht="31.5" outlineLevel="4">
      <c r="A481" s="18" t="s">
        <v>11</v>
      </c>
      <c r="B481" s="19" t="s">
        <v>335</v>
      </c>
      <c r="C481" s="20" t="s">
        <v>352</v>
      </c>
      <c r="D481" s="20" t="s">
        <v>6</v>
      </c>
      <c r="E481" s="20" t="s">
        <v>356</v>
      </c>
      <c r="F481" s="20" t="s">
        <v>4</v>
      </c>
      <c r="G481" s="40">
        <f>G482</f>
        <v>100</v>
      </c>
      <c r="H481" s="40">
        <f t="shared" si="230"/>
        <v>100</v>
      </c>
      <c r="I481" s="40">
        <f t="shared" si="230"/>
        <v>100</v>
      </c>
      <c r="J481" s="1"/>
    </row>
    <row r="482" spans="1:10" ht="78.75" outlineLevel="5">
      <c r="A482" s="18" t="s">
        <v>357</v>
      </c>
      <c r="B482" s="19" t="s">
        <v>335</v>
      </c>
      <c r="C482" s="20" t="s">
        <v>352</v>
      </c>
      <c r="D482" s="20" t="s">
        <v>6</v>
      </c>
      <c r="E482" s="20" t="s">
        <v>358</v>
      </c>
      <c r="F482" s="20" t="s">
        <v>4</v>
      </c>
      <c r="G482" s="40">
        <f>G483</f>
        <v>100</v>
      </c>
      <c r="H482" s="40">
        <f t="shared" si="230"/>
        <v>100</v>
      </c>
      <c r="I482" s="40">
        <f t="shared" si="230"/>
        <v>100</v>
      </c>
      <c r="J482" s="1"/>
    </row>
    <row r="483" spans="1:10" ht="31.5" outlineLevel="6">
      <c r="A483" s="18" t="s">
        <v>359</v>
      </c>
      <c r="B483" s="19" t="s">
        <v>335</v>
      </c>
      <c r="C483" s="20" t="s">
        <v>352</v>
      </c>
      <c r="D483" s="20" t="s">
        <v>6</v>
      </c>
      <c r="E483" s="20" t="s">
        <v>360</v>
      </c>
      <c r="F483" s="20" t="s">
        <v>4</v>
      </c>
      <c r="G483" s="40">
        <f>G484</f>
        <v>100</v>
      </c>
      <c r="H483" s="40">
        <f t="shared" si="230"/>
        <v>100</v>
      </c>
      <c r="I483" s="40">
        <f t="shared" si="230"/>
        <v>100</v>
      </c>
      <c r="J483" s="1"/>
    </row>
    <row r="484" spans="1:10" ht="64.5" customHeight="1" outlineLevel="7">
      <c r="A484" s="18" t="s">
        <v>103</v>
      </c>
      <c r="B484" s="19" t="s">
        <v>335</v>
      </c>
      <c r="C484" s="20" t="s">
        <v>352</v>
      </c>
      <c r="D484" s="20" t="s">
        <v>6</v>
      </c>
      <c r="E484" s="20" t="s">
        <v>360</v>
      </c>
      <c r="F484" s="20" t="s">
        <v>104</v>
      </c>
      <c r="G484" s="40">
        <v>100</v>
      </c>
      <c r="H484" s="40">
        <v>100</v>
      </c>
      <c r="I484" s="40">
        <v>100</v>
      </c>
      <c r="J484" s="1"/>
    </row>
    <row r="485" spans="1:10" ht="47.25" outlineLevel="3">
      <c r="A485" s="18" t="s">
        <v>339</v>
      </c>
      <c r="B485" s="19" t="s">
        <v>335</v>
      </c>
      <c r="C485" s="20" t="s">
        <v>352</v>
      </c>
      <c r="D485" s="20" t="s">
        <v>6</v>
      </c>
      <c r="E485" s="20" t="s">
        <v>340</v>
      </c>
      <c r="F485" s="20" t="s">
        <v>4</v>
      </c>
      <c r="G485" s="40">
        <f>G490+G511+G486</f>
        <v>131066.92914000001</v>
      </c>
      <c r="H485" s="40">
        <f t="shared" ref="H485:I485" si="231">H490+H511</f>
        <v>109665.4</v>
      </c>
      <c r="I485" s="40">
        <f t="shared" si="231"/>
        <v>109665.4</v>
      </c>
      <c r="J485" s="1"/>
    </row>
    <row r="486" spans="1:10" ht="78.75" outlineLevel="3">
      <c r="A486" s="18" t="s">
        <v>714</v>
      </c>
      <c r="B486" s="19" t="s">
        <v>335</v>
      </c>
      <c r="C486" s="20" t="s">
        <v>352</v>
      </c>
      <c r="D486" s="20" t="s">
        <v>6</v>
      </c>
      <c r="E486" s="20" t="s">
        <v>711</v>
      </c>
      <c r="F486" s="20" t="s">
        <v>4</v>
      </c>
      <c r="G486" s="40">
        <f>G487</f>
        <v>500</v>
      </c>
      <c r="H486" s="40">
        <f t="shared" ref="H486:I488" si="232">H487</f>
        <v>0</v>
      </c>
      <c r="I486" s="40">
        <f t="shared" si="232"/>
        <v>0</v>
      </c>
      <c r="J486" s="1"/>
    </row>
    <row r="487" spans="1:10" ht="31.5" outlineLevel="3">
      <c r="A487" s="18" t="s">
        <v>715</v>
      </c>
      <c r="B487" s="19" t="s">
        <v>335</v>
      </c>
      <c r="C487" s="20" t="s">
        <v>352</v>
      </c>
      <c r="D487" s="20" t="s">
        <v>6</v>
      </c>
      <c r="E487" s="20" t="s">
        <v>712</v>
      </c>
      <c r="F487" s="20" t="s">
        <v>4</v>
      </c>
      <c r="G487" s="40">
        <f>G488</f>
        <v>500</v>
      </c>
      <c r="H487" s="40">
        <f t="shared" si="232"/>
        <v>0</v>
      </c>
      <c r="I487" s="40">
        <f t="shared" si="232"/>
        <v>0</v>
      </c>
      <c r="J487" s="1"/>
    </row>
    <row r="488" spans="1:10" ht="31.5" outlineLevel="3">
      <c r="A488" s="18" t="s">
        <v>716</v>
      </c>
      <c r="B488" s="19" t="s">
        <v>335</v>
      </c>
      <c r="C488" s="20" t="s">
        <v>352</v>
      </c>
      <c r="D488" s="20" t="s">
        <v>6</v>
      </c>
      <c r="E488" s="20" t="s">
        <v>713</v>
      </c>
      <c r="F488" s="20" t="s">
        <v>4</v>
      </c>
      <c r="G488" s="40">
        <f>G489</f>
        <v>500</v>
      </c>
      <c r="H488" s="40">
        <f t="shared" si="232"/>
        <v>0</v>
      </c>
      <c r="I488" s="40">
        <f t="shared" si="232"/>
        <v>0</v>
      </c>
      <c r="J488" s="1"/>
    </row>
    <row r="489" spans="1:10" ht="66.75" customHeight="1" outlineLevel="3">
      <c r="A489" s="18" t="s">
        <v>103</v>
      </c>
      <c r="B489" s="19" t="s">
        <v>335</v>
      </c>
      <c r="C489" s="20" t="s">
        <v>352</v>
      </c>
      <c r="D489" s="20" t="s">
        <v>6</v>
      </c>
      <c r="E489" s="20" t="s">
        <v>713</v>
      </c>
      <c r="F489" s="20" t="s">
        <v>104</v>
      </c>
      <c r="G489" s="40">
        <v>500</v>
      </c>
      <c r="H489" s="40">
        <v>0</v>
      </c>
      <c r="I489" s="40">
        <v>0</v>
      </c>
      <c r="J489" s="1"/>
    </row>
    <row r="490" spans="1:10" ht="47.25" outlineLevel="4">
      <c r="A490" s="18" t="s">
        <v>94</v>
      </c>
      <c r="B490" s="19" t="s">
        <v>335</v>
      </c>
      <c r="C490" s="20" t="s">
        <v>352</v>
      </c>
      <c r="D490" s="20" t="s">
        <v>6</v>
      </c>
      <c r="E490" s="20" t="s">
        <v>341</v>
      </c>
      <c r="F490" s="20" t="s">
        <v>4</v>
      </c>
      <c r="G490" s="40">
        <f>G491+G494+G499+G506</f>
        <v>67759.679000000004</v>
      </c>
      <c r="H490" s="40">
        <f t="shared" ref="H490:I490" si="233">H491+H494+H499</f>
        <v>53467.7</v>
      </c>
      <c r="I490" s="40">
        <f t="shared" si="233"/>
        <v>53467.7</v>
      </c>
      <c r="J490" s="1"/>
    </row>
    <row r="491" spans="1:10" ht="47.25" outlineLevel="5">
      <c r="A491" s="18" t="s">
        <v>342</v>
      </c>
      <c r="B491" s="19" t="s">
        <v>335</v>
      </c>
      <c r="C491" s="20" t="s">
        <v>352</v>
      </c>
      <c r="D491" s="20" t="s">
        <v>6</v>
      </c>
      <c r="E491" s="20" t="s">
        <v>343</v>
      </c>
      <c r="F491" s="20" t="s">
        <v>4</v>
      </c>
      <c r="G491" s="40">
        <f>G492</f>
        <v>35832.800000000003</v>
      </c>
      <c r="H491" s="40">
        <f t="shared" ref="H491:I491" si="234">H492</f>
        <v>33204.5</v>
      </c>
      <c r="I491" s="40">
        <f t="shared" si="234"/>
        <v>33204.5</v>
      </c>
      <c r="J491" s="1"/>
    </row>
    <row r="492" spans="1:10" ht="126" outlineLevel="6">
      <c r="A492" s="18" t="s">
        <v>344</v>
      </c>
      <c r="B492" s="19" t="s">
        <v>335</v>
      </c>
      <c r="C492" s="20" t="s">
        <v>352</v>
      </c>
      <c r="D492" s="20" t="s">
        <v>6</v>
      </c>
      <c r="E492" s="20" t="s">
        <v>345</v>
      </c>
      <c r="F492" s="20" t="s">
        <v>4</v>
      </c>
      <c r="G492" s="40">
        <f>G493</f>
        <v>35832.800000000003</v>
      </c>
      <c r="H492" s="40">
        <f t="shared" ref="H492:I492" si="235">H493</f>
        <v>33204.5</v>
      </c>
      <c r="I492" s="40">
        <f t="shared" si="235"/>
        <v>33204.5</v>
      </c>
      <c r="J492" s="1"/>
    </row>
    <row r="493" spans="1:10" ht="63" customHeight="1" outlineLevel="7">
      <c r="A493" s="18" t="s">
        <v>103</v>
      </c>
      <c r="B493" s="19" t="s">
        <v>335</v>
      </c>
      <c r="C493" s="20" t="s">
        <v>352</v>
      </c>
      <c r="D493" s="20" t="s">
        <v>6</v>
      </c>
      <c r="E493" s="20" t="s">
        <v>345</v>
      </c>
      <c r="F493" s="20" t="s">
        <v>104</v>
      </c>
      <c r="G493" s="40">
        <f>33204.5+277.5+2350.8</f>
        <v>35832.800000000003</v>
      </c>
      <c r="H493" s="40">
        <v>33204.5</v>
      </c>
      <c r="I493" s="40">
        <v>33204.5</v>
      </c>
      <c r="J493" s="1"/>
    </row>
    <row r="494" spans="1:10" ht="63" outlineLevel="5">
      <c r="A494" s="18" t="s">
        <v>361</v>
      </c>
      <c r="B494" s="19" t="s">
        <v>335</v>
      </c>
      <c r="C494" s="20" t="s">
        <v>352</v>
      </c>
      <c r="D494" s="20" t="s">
        <v>6</v>
      </c>
      <c r="E494" s="20" t="s">
        <v>362</v>
      </c>
      <c r="F494" s="20" t="s">
        <v>4</v>
      </c>
      <c r="G494" s="40">
        <f>G495+G497</f>
        <v>23200</v>
      </c>
      <c r="H494" s="40">
        <f t="shared" ref="H494:I494" si="236">H495+H497</f>
        <v>20000</v>
      </c>
      <c r="I494" s="40">
        <f t="shared" si="236"/>
        <v>20000</v>
      </c>
      <c r="J494" s="1"/>
    </row>
    <row r="495" spans="1:10" ht="31.5" outlineLevel="6">
      <c r="A495" s="18" t="s">
        <v>363</v>
      </c>
      <c r="B495" s="19" t="s">
        <v>335</v>
      </c>
      <c r="C495" s="20" t="s">
        <v>352</v>
      </c>
      <c r="D495" s="20" t="s">
        <v>6</v>
      </c>
      <c r="E495" s="20" t="s">
        <v>364</v>
      </c>
      <c r="F495" s="20" t="s">
        <v>4</v>
      </c>
      <c r="G495" s="40">
        <f>G496</f>
        <v>13200</v>
      </c>
      <c r="H495" s="40">
        <f t="shared" ref="H495:I495" si="237">H496</f>
        <v>10000</v>
      </c>
      <c r="I495" s="40">
        <f t="shared" si="237"/>
        <v>10000</v>
      </c>
      <c r="J495" s="1"/>
    </row>
    <row r="496" spans="1:10" ht="66" customHeight="1" outlineLevel="7">
      <c r="A496" s="18" t="s">
        <v>103</v>
      </c>
      <c r="B496" s="19" t="s">
        <v>335</v>
      </c>
      <c r="C496" s="20" t="s">
        <v>352</v>
      </c>
      <c r="D496" s="20" t="s">
        <v>6</v>
      </c>
      <c r="E496" s="20" t="s">
        <v>364</v>
      </c>
      <c r="F496" s="20" t="s">
        <v>104</v>
      </c>
      <c r="G496" s="40">
        <f>10000+3200</f>
        <v>13200</v>
      </c>
      <c r="H496" s="40">
        <v>10000</v>
      </c>
      <c r="I496" s="40">
        <v>10000</v>
      </c>
      <c r="J496" s="1"/>
    </row>
    <row r="497" spans="1:10" ht="31.5" outlineLevel="6">
      <c r="A497" s="18" t="s">
        <v>363</v>
      </c>
      <c r="B497" s="19" t="s">
        <v>335</v>
      </c>
      <c r="C497" s="20" t="s">
        <v>352</v>
      </c>
      <c r="D497" s="20" t="s">
        <v>6</v>
      </c>
      <c r="E497" s="20" t="s">
        <v>365</v>
      </c>
      <c r="F497" s="20" t="s">
        <v>4</v>
      </c>
      <c r="G497" s="40">
        <f>G498</f>
        <v>10000</v>
      </c>
      <c r="H497" s="40">
        <f t="shared" ref="H497:I497" si="238">H498</f>
        <v>10000</v>
      </c>
      <c r="I497" s="40">
        <f t="shared" si="238"/>
        <v>10000</v>
      </c>
      <c r="J497" s="1"/>
    </row>
    <row r="498" spans="1:10" ht="67.5" customHeight="1" outlineLevel="7">
      <c r="A498" s="18" t="s">
        <v>103</v>
      </c>
      <c r="B498" s="19" t="s">
        <v>335</v>
      </c>
      <c r="C498" s="20" t="s">
        <v>352</v>
      </c>
      <c r="D498" s="20" t="s">
        <v>6</v>
      </c>
      <c r="E498" s="20" t="s">
        <v>365</v>
      </c>
      <c r="F498" s="20" t="s">
        <v>104</v>
      </c>
      <c r="G498" s="40">
        <v>10000</v>
      </c>
      <c r="H498" s="40">
        <v>10000</v>
      </c>
      <c r="I498" s="40">
        <v>10000</v>
      </c>
      <c r="J498" s="1"/>
    </row>
    <row r="499" spans="1:10" ht="47.25" outlineLevel="5">
      <c r="A499" s="18" t="s">
        <v>366</v>
      </c>
      <c r="B499" s="19" t="s">
        <v>335</v>
      </c>
      <c r="C499" s="20" t="s">
        <v>352</v>
      </c>
      <c r="D499" s="20" t="s">
        <v>6</v>
      </c>
      <c r="E499" s="20" t="s">
        <v>367</v>
      </c>
      <c r="F499" s="20" t="s">
        <v>4</v>
      </c>
      <c r="G499" s="40">
        <f>G504+G500+G502</f>
        <v>565.95899999999995</v>
      </c>
      <c r="H499" s="40">
        <f t="shared" ref="H499:I499" si="239">H504</f>
        <v>263.2</v>
      </c>
      <c r="I499" s="40">
        <f t="shared" si="239"/>
        <v>263.2</v>
      </c>
      <c r="J499" s="1"/>
    </row>
    <row r="500" spans="1:10" ht="51" customHeight="1" outlineLevel="5">
      <c r="A500" s="30" t="s">
        <v>672</v>
      </c>
      <c r="B500" s="22" t="s">
        <v>335</v>
      </c>
      <c r="C500" s="20" t="s">
        <v>352</v>
      </c>
      <c r="D500" s="20" t="s">
        <v>6</v>
      </c>
      <c r="E500" s="20" t="s">
        <v>671</v>
      </c>
      <c r="F500" s="20" t="s">
        <v>4</v>
      </c>
      <c r="G500" s="40">
        <f>G501</f>
        <v>263.39999999999998</v>
      </c>
      <c r="H500" s="40">
        <f t="shared" ref="H500:I500" si="240">H501</f>
        <v>0</v>
      </c>
      <c r="I500" s="40">
        <f t="shared" si="240"/>
        <v>0</v>
      </c>
      <c r="J500" s="1"/>
    </row>
    <row r="501" spans="1:10" ht="65.25" customHeight="1" outlineLevel="5">
      <c r="A501" s="18" t="s">
        <v>103</v>
      </c>
      <c r="B501" s="19" t="s">
        <v>335</v>
      </c>
      <c r="C501" s="20" t="s">
        <v>352</v>
      </c>
      <c r="D501" s="20" t="s">
        <v>6</v>
      </c>
      <c r="E501" s="20" t="s">
        <v>671</v>
      </c>
      <c r="F501" s="20" t="s">
        <v>104</v>
      </c>
      <c r="G501" s="40">
        <v>263.39999999999998</v>
      </c>
      <c r="H501" s="40">
        <v>0</v>
      </c>
      <c r="I501" s="40">
        <v>0</v>
      </c>
      <c r="J501" s="1"/>
    </row>
    <row r="502" spans="1:10" ht="45.75" customHeight="1" outlineLevel="5">
      <c r="A502" s="30" t="s">
        <v>672</v>
      </c>
      <c r="B502" s="22" t="s">
        <v>335</v>
      </c>
      <c r="C502" s="20" t="s">
        <v>352</v>
      </c>
      <c r="D502" s="20" t="s">
        <v>6</v>
      </c>
      <c r="E502" s="20" t="s">
        <v>687</v>
      </c>
      <c r="F502" s="20" t="s">
        <v>4</v>
      </c>
      <c r="G502" s="40">
        <f>G503</f>
        <v>39.359000000000002</v>
      </c>
      <c r="H502" s="40">
        <f t="shared" ref="H502:I502" si="241">H503</f>
        <v>0</v>
      </c>
      <c r="I502" s="40">
        <f t="shared" si="241"/>
        <v>0</v>
      </c>
      <c r="J502" s="1"/>
    </row>
    <row r="503" spans="1:10" ht="65.25" customHeight="1" outlineLevel="5">
      <c r="A503" s="18" t="s">
        <v>103</v>
      </c>
      <c r="B503" s="19" t="s">
        <v>335</v>
      </c>
      <c r="C503" s="20" t="s">
        <v>352</v>
      </c>
      <c r="D503" s="20" t="s">
        <v>6</v>
      </c>
      <c r="E503" s="20" t="s">
        <v>687</v>
      </c>
      <c r="F503" s="20" t="s">
        <v>104</v>
      </c>
      <c r="G503" s="40">
        <v>39.359000000000002</v>
      </c>
      <c r="H503" s="40">
        <v>0</v>
      </c>
      <c r="I503" s="40">
        <v>0</v>
      </c>
      <c r="J503" s="1"/>
    </row>
    <row r="504" spans="1:10" ht="126" outlineLevel="6">
      <c r="A504" s="18" t="s">
        <v>368</v>
      </c>
      <c r="B504" s="19" t="s">
        <v>335</v>
      </c>
      <c r="C504" s="20" t="s">
        <v>352</v>
      </c>
      <c r="D504" s="20" t="s">
        <v>6</v>
      </c>
      <c r="E504" s="20" t="s">
        <v>369</v>
      </c>
      <c r="F504" s="20" t="s">
        <v>4</v>
      </c>
      <c r="G504" s="40">
        <f>G505</f>
        <v>263.2</v>
      </c>
      <c r="H504" s="40">
        <f t="shared" ref="H504:I504" si="242">H505</f>
        <v>263.2</v>
      </c>
      <c r="I504" s="40">
        <f t="shared" si="242"/>
        <v>263.2</v>
      </c>
      <c r="J504" s="1"/>
    </row>
    <row r="505" spans="1:10" ht="66" customHeight="1" outlineLevel="7">
      <c r="A505" s="18" t="s">
        <v>103</v>
      </c>
      <c r="B505" s="19" t="s">
        <v>335</v>
      </c>
      <c r="C505" s="20" t="s">
        <v>352</v>
      </c>
      <c r="D505" s="20" t="s">
        <v>6</v>
      </c>
      <c r="E505" s="20" t="s">
        <v>369</v>
      </c>
      <c r="F505" s="20" t="s">
        <v>104</v>
      </c>
      <c r="G505" s="40">
        <v>263.2</v>
      </c>
      <c r="H505" s="40">
        <v>263.2</v>
      </c>
      <c r="I505" s="40">
        <v>263.2</v>
      </c>
      <c r="J505" s="1"/>
    </row>
    <row r="506" spans="1:10" ht="78" customHeight="1" outlineLevel="7">
      <c r="A506" s="18" t="s">
        <v>676</v>
      </c>
      <c r="B506" s="19" t="s">
        <v>335</v>
      </c>
      <c r="C506" s="20" t="s">
        <v>352</v>
      </c>
      <c r="D506" s="20" t="s">
        <v>6</v>
      </c>
      <c r="E506" s="20" t="s">
        <v>673</v>
      </c>
      <c r="F506" s="20" t="s">
        <v>4</v>
      </c>
      <c r="G506" s="40">
        <f>G507+G509</f>
        <v>8160.92</v>
      </c>
      <c r="H506" s="40">
        <f t="shared" ref="H506:I507" si="243">H507</f>
        <v>0</v>
      </c>
      <c r="I506" s="40">
        <f t="shared" si="243"/>
        <v>0</v>
      </c>
      <c r="J506" s="1"/>
    </row>
    <row r="507" spans="1:10" ht="49.5" customHeight="1" outlineLevel="7">
      <c r="A507" s="30" t="s">
        <v>675</v>
      </c>
      <c r="B507" s="22" t="s">
        <v>335</v>
      </c>
      <c r="C507" s="20" t="s">
        <v>352</v>
      </c>
      <c r="D507" s="20" t="s">
        <v>6</v>
      </c>
      <c r="E507" s="20" t="s">
        <v>674</v>
      </c>
      <c r="F507" s="20" t="s">
        <v>4</v>
      </c>
      <c r="G507" s="40">
        <f>G508</f>
        <v>7100</v>
      </c>
      <c r="H507" s="40">
        <f t="shared" si="243"/>
        <v>0</v>
      </c>
      <c r="I507" s="40">
        <f t="shared" si="243"/>
        <v>0</v>
      </c>
      <c r="J507" s="1"/>
    </row>
    <row r="508" spans="1:10" ht="66" customHeight="1" outlineLevel="7">
      <c r="A508" s="18" t="s">
        <v>103</v>
      </c>
      <c r="B508" s="19" t="s">
        <v>335</v>
      </c>
      <c r="C508" s="20" t="s">
        <v>352</v>
      </c>
      <c r="D508" s="20" t="s">
        <v>6</v>
      </c>
      <c r="E508" s="20" t="s">
        <v>674</v>
      </c>
      <c r="F508" s="20" t="s">
        <v>104</v>
      </c>
      <c r="G508" s="40">
        <v>7100</v>
      </c>
      <c r="H508" s="40">
        <v>0</v>
      </c>
      <c r="I508" s="40">
        <v>0</v>
      </c>
      <c r="J508" s="1"/>
    </row>
    <row r="509" spans="1:10" ht="49.5" customHeight="1" outlineLevel="7">
      <c r="A509" s="30" t="s">
        <v>675</v>
      </c>
      <c r="B509" s="22" t="s">
        <v>335</v>
      </c>
      <c r="C509" s="20" t="s">
        <v>352</v>
      </c>
      <c r="D509" s="20" t="s">
        <v>6</v>
      </c>
      <c r="E509" s="20" t="s">
        <v>688</v>
      </c>
      <c r="F509" s="20" t="s">
        <v>4</v>
      </c>
      <c r="G509" s="40">
        <f>G510</f>
        <v>1060.92</v>
      </c>
      <c r="H509" s="40">
        <f t="shared" ref="H509:I509" si="244">H510</f>
        <v>0</v>
      </c>
      <c r="I509" s="40">
        <f t="shared" si="244"/>
        <v>0</v>
      </c>
      <c r="J509" s="1"/>
    </row>
    <row r="510" spans="1:10" ht="66" customHeight="1" outlineLevel="7">
      <c r="A510" s="18" t="s">
        <v>103</v>
      </c>
      <c r="B510" s="19" t="s">
        <v>335</v>
      </c>
      <c r="C510" s="20" t="s">
        <v>352</v>
      </c>
      <c r="D510" s="20" t="s">
        <v>6</v>
      </c>
      <c r="E510" s="20" t="s">
        <v>688</v>
      </c>
      <c r="F510" s="20" t="s">
        <v>104</v>
      </c>
      <c r="G510" s="40">
        <v>1060.92</v>
      </c>
      <c r="H510" s="40">
        <v>0</v>
      </c>
      <c r="I510" s="40">
        <v>0</v>
      </c>
      <c r="J510" s="1"/>
    </row>
    <row r="511" spans="1:10" ht="31.5" outlineLevel="4">
      <c r="A511" s="18" t="s">
        <v>11</v>
      </c>
      <c r="B511" s="19" t="s">
        <v>335</v>
      </c>
      <c r="C511" s="20" t="s">
        <v>352</v>
      </c>
      <c r="D511" s="20" t="s">
        <v>6</v>
      </c>
      <c r="E511" s="20" t="s">
        <v>346</v>
      </c>
      <c r="F511" s="20" t="s">
        <v>4</v>
      </c>
      <c r="G511" s="40">
        <f>G512+G517</f>
        <v>62807.250140000004</v>
      </c>
      <c r="H511" s="40">
        <f t="shared" ref="H511:I511" si="245">H512+H517</f>
        <v>56197.7</v>
      </c>
      <c r="I511" s="40">
        <f t="shared" si="245"/>
        <v>56197.7</v>
      </c>
      <c r="J511" s="1"/>
    </row>
    <row r="512" spans="1:10" ht="110.25" outlineLevel="5">
      <c r="A512" s="18" t="s">
        <v>370</v>
      </c>
      <c r="B512" s="19" t="s">
        <v>335</v>
      </c>
      <c r="C512" s="20" t="s">
        <v>352</v>
      </c>
      <c r="D512" s="20" t="s">
        <v>6</v>
      </c>
      <c r="E512" s="20" t="s">
        <v>371</v>
      </c>
      <c r="F512" s="20" t="s">
        <v>4</v>
      </c>
      <c r="G512" s="40">
        <f>G513+G515</f>
        <v>22195.237659999999</v>
      </c>
      <c r="H512" s="40">
        <f t="shared" ref="H512:I512" si="246">H513+H515</f>
        <v>21210.5</v>
      </c>
      <c r="I512" s="40">
        <f t="shared" si="246"/>
        <v>21210.5</v>
      </c>
      <c r="J512" s="1"/>
    </row>
    <row r="513" spans="1:10" ht="189" customHeight="1" outlineLevel="6">
      <c r="A513" s="18" t="s">
        <v>372</v>
      </c>
      <c r="B513" s="19" t="s">
        <v>335</v>
      </c>
      <c r="C513" s="20" t="s">
        <v>352</v>
      </c>
      <c r="D513" s="20" t="s">
        <v>6</v>
      </c>
      <c r="E513" s="20" t="s">
        <v>373</v>
      </c>
      <c r="F513" s="20" t="s">
        <v>4</v>
      </c>
      <c r="G513" s="40">
        <f>G514</f>
        <v>51.8</v>
      </c>
      <c r="H513" s="40">
        <f t="shared" ref="H513:I513" si="247">H514</f>
        <v>36.799999999999997</v>
      </c>
      <c r="I513" s="40">
        <f t="shared" si="247"/>
        <v>36.799999999999997</v>
      </c>
      <c r="J513" s="1"/>
    </row>
    <row r="514" spans="1:10" ht="61.5" customHeight="1" outlineLevel="7">
      <c r="A514" s="18" t="s">
        <v>103</v>
      </c>
      <c r="B514" s="19" t="s">
        <v>335</v>
      </c>
      <c r="C514" s="20" t="s">
        <v>352</v>
      </c>
      <c r="D514" s="20" t="s">
        <v>6</v>
      </c>
      <c r="E514" s="20" t="s">
        <v>373</v>
      </c>
      <c r="F514" s="20" t="s">
        <v>104</v>
      </c>
      <c r="G514" s="40">
        <f>36.8+15</f>
        <v>51.8</v>
      </c>
      <c r="H514" s="40">
        <v>36.799999999999997</v>
      </c>
      <c r="I514" s="40">
        <v>36.799999999999997</v>
      </c>
      <c r="J514" s="1"/>
    </row>
    <row r="515" spans="1:10" ht="47.25" outlineLevel="6">
      <c r="A515" s="18" t="s">
        <v>374</v>
      </c>
      <c r="B515" s="19" t="s">
        <v>335</v>
      </c>
      <c r="C515" s="20" t="s">
        <v>352</v>
      </c>
      <c r="D515" s="20" t="s">
        <v>6</v>
      </c>
      <c r="E515" s="20" t="s">
        <v>375</v>
      </c>
      <c r="F515" s="20" t="s">
        <v>4</v>
      </c>
      <c r="G515" s="40">
        <f>G516</f>
        <v>22143.43766</v>
      </c>
      <c r="H515" s="40">
        <f t="shared" ref="H515:I515" si="248">H516</f>
        <v>21173.7</v>
      </c>
      <c r="I515" s="40">
        <f t="shared" si="248"/>
        <v>21173.7</v>
      </c>
      <c r="J515" s="1"/>
    </row>
    <row r="516" spans="1:10" ht="69" customHeight="1" outlineLevel="7">
      <c r="A516" s="18" t="s">
        <v>103</v>
      </c>
      <c r="B516" s="19" t="s">
        <v>335</v>
      </c>
      <c r="C516" s="20" t="s">
        <v>352</v>
      </c>
      <c r="D516" s="20" t="s">
        <v>6</v>
      </c>
      <c r="E516" s="20" t="s">
        <v>375</v>
      </c>
      <c r="F516" s="20" t="s">
        <v>104</v>
      </c>
      <c r="G516" s="40">
        <f>21218.5+767-390+137.2+390+20.73766</f>
        <v>22143.43766</v>
      </c>
      <c r="H516" s="40">
        <v>21173.7</v>
      </c>
      <c r="I516" s="40">
        <v>21173.7</v>
      </c>
      <c r="J516" s="1"/>
    </row>
    <row r="517" spans="1:10" ht="78.75" outlineLevel="5">
      <c r="A517" s="18" t="s">
        <v>376</v>
      </c>
      <c r="B517" s="19" t="s">
        <v>335</v>
      </c>
      <c r="C517" s="20" t="s">
        <v>352</v>
      </c>
      <c r="D517" s="20" t="s">
        <v>6</v>
      </c>
      <c r="E517" s="20" t="s">
        <v>377</v>
      </c>
      <c r="F517" s="20" t="s">
        <v>4</v>
      </c>
      <c r="G517" s="40">
        <f>G518+G520+G522</f>
        <v>40612.012480000005</v>
      </c>
      <c r="H517" s="40">
        <f t="shared" ref="H517:I517" si="249">H518+H520+H522</f>
        <v>34987.199999999997</v>
      </c>
      <c r="I517" s="40">
        <f t="shared" si="249"/>
        <v>34987.199999999997</v>
      </c>
      <c r="J517" s="1"/>
    </row>
    <row r="518" spans="1:10" ht="47.25" outlineLevel="6">
      <c r="A518" s="18" t="s">
        <v>378</v>
      </c>
      <c r="B518" s="19" t="s">
        <v>335</v>
      </c>
      <c r="C518" s="20" t="s">
        <v>352</v>
      </c>
      <c r="D518" s="20" t="s">
        <v>6</v>
      </c>
      <c r="E518" s="20" t="s">
        <v>379</v>
      </c>
      <c r="F518" s="20" t="s">
        <v>4</v>
      </c>
      <c r="G518" s="40">
        <f>G519</f>
        <v>0</v>
      </c>
      <c r="H518" s="40">
        <f t="shared" ref="H518:I518" si="250">H519</f>
        <v>5</v>
      </c>
      <c r="I518" s="40">
        <f t="shared" si="250"/>
        <v>5</v>
      </c>
      <c r="J518" s="1"/>
    </row>
    <row r="519" spans="1:10" ht="66" customHeight="1" outlineLevel="7">
      <c r="A519" s="18" t="s">
        <v>103</v>
      </c>
      <c r="B519" s="19" t="s">
        <v>335</v>
      </c>
      <c r="C519" s="20" t="s">
        <v>352</v>
      </c>
      <c r="D519" s="20" t="s">
        <v>6</v>
      </c>
      <c r="E519" s="20" t="s">
        <v>379</v>
      </c>
      <c r="F519" s="20" t="s">
        <v>104</v>
      </c>
      <c r="G519" s="40">
        <f>5-5</f>
        <v>0</v>
      </c>
      <c r="H519" s="40">
        <v>5</v>
      </c>
      <c r="I519" s="40">
        <v>5</v>
      </c>
      <c r="J519" s="1"/>
    </row>
    <row r="520" spans="1:10" ht="189.75" customHeight="1" outlineLevel="6">
      <c r="A520" s="18" t="s">
        <v>372</v>
      </c>
      <c r="B520" s="19" t="s">
        <v>335</v>
      </c>
      <c r="C520" s="20" t="s">
        <v>352</v>
      </c>
      <c r="D520" s="20" t="s">
        <v>6</v>
      </c>
      <c r="E520" s="20" t="s">
        <v>380</v>
      </c>
      <c r="F520" s="20" t="s">
        <v>4</v>
      </c>
      <c r="G520" s="40">
        <f>G521</f>
        <v>196.79999999999998</v>
      </c>
      <c r="H520" s="40">
        <f t="shared" ref="H520:I520" si="251">H521</f>
        <v>153.19999999999999</v>
      </c>
      <c r="I520" s="40">
        <f t="shared" si="251"/>
        <v>153.19999999999999</v>
      </c>
      <c r="J520" s="1"/>
    </row>
    <row r="521" spans="1:10" ht="64.5" customHeight="1" outlineLevel="7">
      <c r="A521" s="18" t="s">
        <v>103</v>
      </c>
      <c r="B521" s="19" t="s">
        <v>335</v>
      </c>
      <c r="C521" s="20" t="s">
        <v>352</v>
      </c>
      <c r="D521" s="20" t="s">
        <v>6</v>
      </c>
      <c r="E521" s="20" t="s">
        <v>380</v>
      </c>
      <c r="F521" s="20" t="s">
        <v>104</v>
      </c>
      <c r="G521" s="40">
        <f>153.2+43.6</f>
        <v>196.79999999999998</v>
      </c>
      <c r="H521" s="40">
        <v>153.19999999999999</v>
      </c>
      <c r="I521" s="40">
        <v>153.19999999999999</v>
      </c>
      <c r="J521" s="1"/>
    </row>
    <row r="522" spans="1:10" ht="47.25" outlineLevel="6">
      <c r="A522" s="18" t="s">
        <v>381</v>
      </c>
      <c r="B522" s="19" t="s">
        <v>335</v>
      </c>
      <c r="C522" s="20" t="s">
        <v>352</v>
      </c>
      <c r="D522" s="20" t="s">
        <v>6</v>
      </c>
      <c r="E522" s="20" t="s">
        <v>382</v>
      </c>
      <c r="F522" s="20" t="s">
        <v>4</v>
      </c>
      <c r="G522" s="40">
        <f>G523</f>
        <v>40415.212480000002</v>
      </c>
      <c r="H522" s="40">
        <f t="shared" ref="H522:I522" si="252">H523</f>
        <v>34829</v>
      </c>
      <c r="I522" s="40">
        <f t="shared" si="252"/>
        <v>34829</v>
      </c>
      <c r="J522" s="1"/>
    </row>
    <row r="523" spans="1:10" ht="66" customHeight="1" outlineLevel="7">
      <c r="A523" s="18" t="s">
        <v>103</v>
      </c>
      <c r="B523" s="19" t="s">
        <v>335</v>
      </c>
      <c r="C523" s="20" t="s">
        <v>352</v>
      </c>
      <c r="D523" s="20" t="s">
        <v>6</v>
      </c>
      <c r="E523" s="20" t="s">
        <v>382</v>
      </c>
      <c r="F523" s="20" t="s">
        <v>104</v>
      </c>
      <c r="G523" s="40">
        <f>34829-650+650+745.7+683+2000+390+1879.3-390+278.21248</f>
        <v>40415.212480000002</v>
      </c>
      <c r="H523" s="40">
        <v>34829</v>
      </c>
      <c r="I523" s="40">
        <v>34829</v>
      </c>
      <c r="J523" s="1"/>
    </row>
    <row r="524" spans="1:10" ht="31.5" outlineLevel="2">
      <c r="A524" s="15" t="s">
        <v>383</v>
      </c>
      <c r="B524" s="16" t="s">
        <v>335</v>
      </c>
      <c r="C524" s="17" t="s">
        <v>352</v>
      </c>
      <c r="D524" s="17" t="s">
        <v>20</v>
      </c>
      <c r="E524" s="17" t="s">
        <v>3</v>
      </c>
      <c r="F524" s="17" t="s">
        <v>4</v>
      </c>
      <c r="G524" s="39">
        <f>G525+G538</f>
        <v>13615.499659999999</v>
      </c>
      <c r="H524" s="39">
        <f t="shared" ref="H524:I526" si="253">H525</f>
        <v>11637.7</v>
      </c>
      <c r="I524" s="39">
        <f t="shared" si="253"/>
        <v>11637.7</v>
      </c>
      <c r="J524" s="1"/>
    </row>
    <row r="525" spans="1:10" ht="47.25" outlineLevel="3">
      <c r="A525" s="18" t="s">
        <v>339</v>
      </c>
      <c r="B525" s="19" t="s">
        <v>335</v>
      </c>
      <c r="C525" s="20" t="s">
        <v>352</v>
      </c>
      <c r="D525" s="20" t="s">
        <v>20</v>
      </c>
      <c r="E525" s="20" t="s">
        <v>340</v>
      </c>
      <c r="F525" s="20" t="s">
        <v>4</v>
      </c>
      <c r="G525" s="40">
        <f>G526</f>
        <v>13463.19966</v>
      </c>
      <c r="H525" s="40">
        <f t="shared" si="253"/>
        <v>11637.7</v>
      </c>
      <c r="I525" s="40">
        <f t="shared" si="253"/>
        <v>11637.7</v>
      </c>
      <c r="J525" s="1"/>
    </row>
    <row r="526" spans="1:10" ht="31.5" outlineLevel="4">
      <c r="A526" s="18" t="s">
        <v>11</v>
      </c>
      <c r="B526" s="19" t="s">
        <v>335</v>
      </c>
      <c r="C526" s="20" t="s">
        <v>352</v>
      </c>
      <c r="D526" s="20" t="s">
        <v>20</v>
      </c>
      <c r="E526" s="20" t="s">
        <v>346</v>
      </c>
      <c r="F526" s="20" t="s">
        <v>4</v>
      </c>
      <c r="G526" s="40">
        <f>G527</f>
        <v>13463.19966</v>
      </c>
      <c r="H526" s="40">
        <f t="shared" si="253"/>
        <v>11637.7</v>
      </c>
      <c r="I526" s="40">
        <f t="shared" si="253"/>
        <v>11637.7</v>
      </c>
      <c r="J526" s="1"/>
    </row>
    <row r="527" spans="1:10" ht="63" outlineLevel="5">
      <c r="A527" s="18" t="s">
        <v>69</v>
      </c>
      <c r="B527" s="19" t="s">
        <v>335</v>
      </c>
      <c r="C527" s="20" t="s">
        <v>352</v>
      </c>
      <c r="D527" s="20" t="s">
        <v>20</v>
      </c>
      <c r="E527" s="20" t="s">
        <v>384</v>
      </c>
      <c r="F527" s="20" t="s">
        <v>4</v>
      </c>
      <c r="G527" s="40">
        <f>G528+G531+G535+G533</f>
        <v>13463.19966</v>
      </c>
      <c r="H527" s="40">
        <f>H528+H531+H535+H533</f>
        <v>11637.7</v>
      </c>
      <c r="I527" s="40">
        <f>I528+I531+I535+I533</f>
        <v>11637.7</v>
      </c>
      <c r="J527" s="1"/>
    </row>
    <row r="528" spans="1:10" ht="47.25" outlineLevel="6">
      <c r="A528" s="18" t="s">
        <v>21</v>
      </c>
      <c r="B528" s="19" t="s">
        <v>335</v>
      </c>
      <c r="C528" s="20" t="s">
        <v>352</v>
      </c>
      <c r="D528" s="20" t="s">
        <v>20</v>
      </c>
      <c r="E528" s="20" t="s">
        <v>385</v>
      </c>
      <c r="F528" s="20" t="s">
        <v>4</v>
      </c>
      <c r="G528" s="40">
        <f>G529+G530</f>
        <v>6797.1</v>
      </c>
      <c r="H528" s="40">
        <f t="shared" ref="H528:I528" si="254">H529+H530</f>
        <v>5687.6</v>
      </c>
      <c r="I528" s="40">
        <f t="shared" si="254"/>
        <v>5687.6</v>
      </c>
      <c r="J528" s="1"/>
    </row>
    <row r="529" spans="1:10" ht="127.5" customHeight="1" outlineLevel="7">
      <c r="A529" s="18" t="s">
        <v>17</v>
      </c>
      <c r="B529" s="19" t="s">
        <v>335</v>
      </c>
      <c r="C529" s="20" t="s">
        <v>352</v>
      </c>
      <c r="D529" s="20" t="s">
        <v>20</v>
      </c>
      <c r="E529" s="20" t="s">
        <v>385</v>
      </c>
      <c r="F529" s="20" t="s">
        <v>18</v>
      </c>
      <c r="G529" s="40">
        <f>5646.8+203.1+906.4</f>
        <v>6756.3</v>
      </c>
      <c r="H529" s="40">
        <v>5646.8</v>
      </c>
      <c r="I529" s="40">
        <v>5646.8</v>
      </c>
      <c r="J529" s="1"/>
    </row>
    <row r="530" spans="1:10" ht="63" outlineLevel="7">
      <c r="A530" s="18" t="s">
        <v>27</v>
      </c>
      <c r="B530" s="19" t="s">
        <v>335</v>
      </c>
      <c r="C530" s="20" t="s">
        <v>352</v>
      </c>
      <c r="D530" s="20" t="s">
        <v>20</v>
      </c>
      <c r="E530" s="20" t="s">
        <v>385</v>
      </c>
      <c r="F530" s="20" t="s">
        <v>28</v>
      </c>
      <c r="G530" s="40">
        <v>40.799999999999997</v>
      </c>
      <c r="H530" s="40">
        <v>40.799999999999997</v>
      </c>
      <c r="I530" s="40">
        <v>40.799999999999997</v>
      </c>
      <c r="J530" s="1"/>
    </row>
    <row r="531" spans="1:10" ht="31.5" outlineLevel="6">
      <c r="A531" s="18" t="s">
        <v>386</v>
      </c>
      <c r="B531" s="19" t="s">
        <v>335</v>
      </c>
      <c r="C531" s="20" t="s">
        <v>352</v>
      </c>
      <c r="D531" s="20" t="s">
        <v>20</v>
      </c>
      <c r="E531" s="20" t="s">
        <v>387</v>
      </c>
      <c r="F531" s="20" t="s">
        <v>4</v>
      </c>
      <c r="G531" s="40">
        <f>G532</f>
        <v>260</v>
      </c>
      <c r="H531" s="40">
        <f t="shared" ref="H531:I531" si="255">H532</f>
        <v>260</v>
      </c>
      <c r="I531" s="40">
        <f t="shared" si="255"/>
        <v>260</v>
      </c>
      <c r="J531" s="1"/>
    </row>
    <row r="532" spans="1:10" ht="31.5" outlineLevel="7">
      <c r="A532" s="18" t="s">
        <v>42</v>
      </c>
      <c r="B532" s="19" t="s">
        <v>335</v>
      </c>
      <c r="C532" s="20" t="s">
        <v>352</v>
      </c>
      <c r="D532" s="20" t="s">
        <v>20</v>
      </c>
      <c r="E532" s="20" t="s">
        <v>387</v>
      </c>
      <c r="F532" s="20" t="s">
        <v>43</v>
      </c>
      <c r="G532" s="40">
        <v>260</v>
      </c>
      <c r="H532" s="40">
        <v>260</v>
      </c>
      <c r="I532" s="40">
        <v>260</v>
      </c>
      <c r="J532" s="1"/>
    </row>
    <row r="533" spans="1:10" ht="63" outlineLevel="7">
      <c r="A533" s="30" t="s">
        <v>670</v>
      </c>
      <c r="B533" s="19" t="s">
        <v>335</v>
      </c>
      <c r="C533" s="20" t="s">
        <v>352</v>
      </c>
      <c r="D533" s="20" t="s">
        <v>20</v>
      </c>
      <c r="E533" s="20" t="s">
        <v>669</v>
      </c>
      <c r="F533" s="20" t="s">
        <v>4</v>
      </c>
      <c r="G533" s="40">
        <f>G534</f>
        <v>650</v>
      </c>
      <c r="H533" s="40">
        <f t="shared" ref="H533:I533" si="256">H534</f>
        <v>0</v>
      </c>
      <c r="I533" s="40">
        <f t="shared" si="256"/>
        <v>0</v>
      </c>
      <c r="J533" s="1"/>
    </row>
    <row r="534" spans="1:10" ht="31.5" outlineLevel="7">
      <c r="A534" s="18" t="s">
        <v>42</v>
      </c>
      <c r="B534" s="19" t="s">
        <v>335</v>
      </c>
      <c r="C534" s="20" t="s">
        <v>352</v>
      </c>
      <c r="D534" s="20" t="s">
        <v>20</v>
      </c>
      <c r="E534" s="20" t="s">
        <v>669</v>
      </c>
      <c r="F534" s="20" t="s">
        <v>43</v>
      </c>
      <c r="G534" s="40">
        <v>650</v>
      </c>
      <c r="H534" s="40">
        <v>0</v>
      </c>
      <c r="I534" s="40">
        <v>0</v>
      </c>
      <c r="J534" s="1"/>
    </row>
    <row r="535" spans="1:10" ht="47.25" outlineLevel="6">
      <c r="A535" s="18" t="s">
        <v>59</v>
      </c>
      <c r="B535" s="19" t="s">
        <v>335</v>
      </c>
      <c r="C535" s="20" t="s">
        <v>352</v>
      </c>
      <c r="D535" s="20" t="s">
        <v>20</v>
      </c>
      <c r="E535" s="20" t="s">
        <v>388</v>
      </c>
      <c r="F535" s="20" t="s">
        <v>4</v>
      </c>
      <c r="G535" s="40">
        <f>G536+G537</f>
        <v>5756.0996599999999</v>
      </c>
      <c r="H535" s="40">
        <f t="shared" ref="H535:I535" si="257">H536+H537</f>
        <v>5690.1</v>
      </c>
      <c r="I535" s="40">
        <f t="shared" si="257"/>
        <v>5690.1</v>
      </c>
      <c r="J535" s="1"/>
    </row>
    <row r="536" spans="1:10" ht="126.75" customHeight="1" outlineLevel="7">
      <c r="A536" s="18" t="s">
        <v>17</v>
      </c>
      <c r="B536" s="19" t="s">
        <v>335</v>
      </c>
      <c r="C536" s="20" t="s">
        <v>352</v>
      </c>
      <c r="D536" s="20" t="s">
        <v>20</v>
      </c>
      <c r="E536" s="20" t="s">
        <v>388</v>
      </c>
      <c r="F536" s="20" t="s">
        <v>18</v>
      </c>
      <c r="G536" s="40">
        <f>5202.8+187.8+82.2</f>
        <v>5472.8</v>
      </c>
      <c r="H536" s="40">
        <v>5202.8</v>
      </c>
      <c r="I536" s="40">
        <v>5202.8</v>
      </c>
      <c r="J536" s="1"/>
    </row>
    <row r="537" spans="1:10" ht="63" outlineLevel="7">
      <c r="A537" s="18" t="s">
        <v>27</v>
      </c>
      <c r="B537" s="19" t="s">
        <v>335</v>
      </c>
      <c r="C537" s="20" t="s">
        <v>352</v>
      </c>
      <c r="D537" s="20" t="s">
        <v>20</v>
      </c>
      <c r="E537" s="20" t="s">
        <v>388</v>
      </c>
      <c r="F537" s="20" t="s">
        <v>28</v>
      </c>
      <c r="G537" s="40">
        <f>487.3-204.00034</f>
        <v>283.29966000000002</v>
      </c>
      <c r="H537" s="40">
        <v>487.3</v>
      </c>
      <c r="I537" s="40">
        <v>487.3</v>
      </c>
      <c r="J537" s="1"/>
    </row>
    <row r="538" spans="1:10" ht="31.5" outlineLevel="7">
      <c r="A538" s="18" t="s">
        <v>140</v>
      </c>
      <c r="B538" s="19" t="s">
        <v>335</v>
      </c>
      <c r="C538" s="20" t="s">
        <v>352</v>
      </c>
      <c r="D538" s="20" t="s">
        <v>20</v>
      </c>
      <c r="E538" s="20" t="s">
        <v>141</v>
      </c>
      <c r="F538" s="20" t="s">
        <v>4</v>
      </c>
      <c r="G538" s="40">
        <f t="shared" ref="G538:G539" si="258">G539</f>
        <v>152.30000000000001</v>
      </c>
      <c r="H538" s="40">
        <f t="shared" ref="H538:H539" si="259">H539</f>
        <v>0</v>
      </c>
      <c r="I538" s="40">
        <f t="shared" ref="I538:I539" si="260">I539</f>
        <v>0</v>
      </c>
      <c r="J538" s="1"/>
    </row>
    <row r="539" spans="1:10" ht="15.75" outlineLevel="7">
      <c r="A539" s="18" t="s">
        <v>142</v>
      </c>
      <c r="B539" s="19" t="s">
        <v>335</v>
      </c>
      <c r="C539" s="20" t="s">
        <v>352</v>
      </c>
      <c r="D539" s="20" t="s">
        <v>20</v>
      </c>
      <c r="E539" s="20" t="s">
        <v>143</v>
      </c>
      <c r="F539" s="20" t="s">
        <v>4</v>
      </c>
      <c r="G539" s="40">
        <f t="shared" si="258"/>
        <v>152.30000000000001</v>
      </c>
      <c r="H539" s="40">
        <f t="shared" si="259"/>
        <v>0</v>
      </c>
      <c r="I539" s="40">
        <f t="shared" si="260"/>
        <v>0</v>
      </c>
      <c r="J539" s="1"/>
    </row>
    <row r="540" spans="1:10" ht="94.5" outlineLevel="7">
      <c r="A540" s="21" t="s">
        <v>769</v>
      </c>
      <c r="B540" s="19" t="s">
        <v>335</v>
      </c>
      <c r="C540" s="20" t="s">
        <v>352</v>
      </c>
      <c r="D540" s="20" t="s">
        <v>20</v>
      </c>
      <c r="E540" s="23">
        <v>9990055491</v>
      </c>
      <c r="F540" s="19" t="s">
        <v>4</v>
      </c>
      <c r="G540" s="40">
        <f>G541</f>
        <v>152.30000000000001</v>
      </c>
      <c r="H540" s="40">
        <f>H541</f>
        <v>0</v>
      </c>
      <c r="I540" s="40">
        <f>I541</f>
        <v>0</v>
      </c>
      <c r="J540" s="1"/>
    </row>
    <row r="541" spans="1:10" ht="128.25" customHeight="1" outlineLevel="7">
      <c r="A541" s="18" t="s">
        <v>17</v>
      </c>
      <c r="B541" s="19" t="s">
        <v>335</v>
      </c>
      <c r="C541" s="20" t="s">
        <v>352</v>
      </c>
      <c r="D541" s="20" t="s">
        <v>20</v>
      </c>
      <c r="E541" s="23">
        <v>9990055491</v>
      </c>
      <c r="F541" s="19" t="s">
        <v>18</v>
      </c>
      <c r="G541" s="40">
        <v>152.30000000000001</v>
      </c>
      <c r="H541" s="40">
        <v>0</v>
      </c>
      <c r="I541" s="40">
        <v>0</v>
      </c>
      <c r="J541" s="1"/>
    </row>
    <row r="542" spans="1:10" ht="15.75" outlineLevel="1">
      <c r="A542" s="12" t="s">
        <v>105</v>
      </c>
      <c r="B542" s="13" t="s">
        <v>335</v>
      </c>
      <c r="C542" s="14" t="s">
        <v>106</v>
      </c>
      <c r="D542" s="14" t="s">
        <v>2</v>
      </c>
      <c r="E542" s="14" t="s">
        <v>3</v>
      </c>
      <c r="F542" s="14" t="s">
        <v>4</v>
      </c>
      <c r="G542" s="38">
        <f t="shared" ref="G542:G547" si="261">G543</f>
        <v>80.099999999999994</v>
      </c>
      <c r="H542" s="38">
        <f t="shared" ref="H542:I544" si="262">H543</f>
        <v>70.099999999999994</v>
      </c>
      <c r="I542" s="38">
        <f t="shared" si="262"/>
        <v>70.099999999999994</v>
      </c>
      <c r="J542" s="1"/>
    </row>
    <row r="543" spans="1:10" ht="16.5" customHeight="1" outlineLevel="2">
      <c r="A543" s="15" t="s">
        <v>110</v>
      </c>
      <c r="B543" s="16" t="s">
        <v>335</v>
      </c>
      <c r="C543" s="17" t="s">
        <v>106</v>
      </c>
      <c r="D543" s="17" t="s">
        <v>81</v>
      </c>
      <c r="E543" s="17" t="s">
        <v>3</v>
      </c>
      <c r="F543" s="17" t="s">
        <v>4</v>
      </c>
      <c r="G543" s="39">
        <f t="shared" si="261"/>
        <v>80.099999999999994</v>
      </c>
      <c r="H543" s="39">
        <f t="shared" si="262"/>
        <v>70.099999999999994</v>
      </c>
      <c r="I543" s="39">
        <f t="shared" si="262"/>
        <v>70.099999999999994</v>
      </c>
      <c r="J543" s="4"/>
    </row>
    <row r="544" spans="1:10" ht="47.25" outlineLevel="3">
      <c r="A544" s="18" t="s">
        <v>339</v>
      </c>
      <c r="B544" s="19" t="s">
        <v>335</v>
      </c>
      <c r="C544" s="20" t="s">
        <v>106</v>
      </c>
      <c r="D544" s="20" t="s">
        <v>81</v>
      </c>
      <c r="E544" s="20" t="s">
        <v>340</v>
      </c>
      <c r="F544" s="20" t="s">
        <v>4</v>
      </c>
      <c r="G544" s="40">
        <f t="shared" si="261"/>
        <v>80.099999999999994</v>
      </c>
      <c r="H544" s="40">
        <f t="shared" si="262"/>
        <v>70.099999999999994</v>
      </c>
      <c r="I544" s="40">
        <f t="shared" si="262"/>
        <v>70.099999999999994</v>
      </c>
      <c r="J544" s="1"/>
    </row>
    <row r="545" spans="1:10" ht="31.5" outlineLevel="4">
      <c r="A545" s="18" t="s">
        <v>11</v>
      </c>
      <c r="B545" s="19" t="s">
        <v>335</v>
      </c>
      <c r="C545" s="20" t="s">
        <v>106</v>
      </c>
      <c r="D545" s="20" t="s">
        <v>81</v>
      </c>
      <c r="E545" s="20" t="s">
        <v>346</v>
      </c>
      <c r="F545" s="20" t="s">
        <v>4</v>
      </c>
      <c r="G545" s="40">
        <f t="shared" si="261"/>
        <v>80.099999999999994</v>
      </c>
      <c r="H545" s="40">
        <f t="shared" ref="H545:I547" si="263">H546</f>
        <v>70.099999999999994</v>
      </c>
      <c r="I545" s="40">
        <f t="shared" si="263"/>
        <v>70.099999999999994</v>
      </c>
      <c r="J545" s="1"/>
    </row>
    <row r="546" spans="1:10" ht="63" outlineLevel="5">
      <c r="A546" s="18" t="s">
        <v>69</v>
      </c>
      <c r="B546" s="19" t="s">
        <v>335</v>
      </c>
      <c r="C546" s="20" t="s">
        <v>106</v>
      </c>
      <c r="D546" s="20" t="s">
        <v>81</v>
      </c>
      <c r="E546" s="20" t="s">
        <v>384</v>
      </c>
      <c r="F546" s="20" t="s">
        <v>4</v>
      </c>
      <c r="G546" s="40">
        <f t="shared" si="261"/>
        <v>80.099999999999994</v>
      </c>
      <c r="H546" s="40">
        <f t="shared" si="263"/>
        <v>70.099999999999994</v>
      </c>
      <c r="I546" s="40">
        <f t="shared" si="263"/>
        <v>70.099999999999994</v>
      </c>
      <c r="J546" s="1"/>
    </row>
    <row r="547" spans="1:10" ht="190.5" customHeight="1" outlineLevel="6">
      <c r="A547" s="18" t="s">
        <v>372</v>
      </c>
      <c r="B547" s="19" t="s">
        <v>335</v>
      </c>
      <c r="C547" s="20" t="s">
        <v>106</v>
      </c>
      <c r="D547" s="20" t="s">
        <v>81</v>
      </c>
      <c r="E547" s="20" t="s">
        <v>389</v>
      </c>
      <c r="F547" s="20" t="s">
        <v>4</v>
      </c>
      <c r="G547" s="40">
        <f t="shared" si="261"/>
        <v>80.099999999999994</v>
      </c>
      <c r="H547" s="40">
        <f t="shared" si="263"/>
        <v>70.099999999999994</v>
      </c>
      <c r="I547" s="40">
        <f t="shared" si="263"/>
        <v>70.099999999999994</v>
      </c>
      <c r="J547" s="1"/>
    </row>
    <row r="548" spans="1:10" ht="31.5" outlineLevel="7">
      <c r="A548" s="18" t="s">
        <v>42</v>
      </c>
      <c r="B548" s="19" t="s">
        <v>335</v>
      </c>
      <c r="C548" s="20" t="s">
        <v>106</v>
      </c>
      <c r="D548" s="20" t="s">
        <v>81</v>
      </c>
      <c r="E548" s="20" t="s">
        <v>389</v>
      </c>
      <c r="F548" s="20" t="s">
        <v>43</v>
      </c>
      <c r="G548" s="40">
        <f>70.1+10</f>
        <v>80.099999999999994</v>
      </c>
      <c r="H548" s="40">
        <v>70.099999999999994</v>
      </c>
      <c r="I548" s="40">
        <v>70.099999999999994</v>
      </c>
      <c r="J548" s="1"/>
    </row>
    <row r="549" spans="1:10" ht="47.25">
      <c r="A549" s="12" t="s">
        <v>390</v>
      </c>
      <c r="B549" s="13" t="s">
        <v>391</v>
      </c>
      <c r="C549" s="14" t="s">
        <v>2</v>
      </c>
      <c r="D549" s="14" t="s">
        <v>2</v>
      </c>
      <c r="E549" s="14" t="s">
        <v>3</v>
      </c>
      <c r="F549" s="14" t="s">
        <v>4</v>
      </c>
      <c r="G549" s="38">
        <f>G550+G582</f>
        <v>42837</v>
      </c>
      <c r="H549" s="38">
        <f t="shared" ref="H549:I549" si="264">H550+H582</f>
        <v>38876.199999999997</v>
      </c>
      <c r="I549" s="38">
        <f t="shared" si="264"/>
        <v>38876.199999999997</v>
      </c>
      <c r="J549" s="1"/>
    </row>
    <row r="550" spans="1:10" ht="31.5" outlineLevel="1">
      <c r="A550" s="12" t="s">
        <v>5</v>
      </c>
      <c r="B550" s="13" t="s">
        <v>391</v>
      </c>
      <c r="C550" s="14" t="s">
        <v>6</v>
      </c>
      <c r="D550" s="14" t="s">
        <v>2</v>
      </c>
      <c r="E550" s="14" t="s">
        <v>3</v>
      </c>
      <c r="F550" s="14" t="s">
        <v>4</v>
      </c>
      <c r="G550" s="38">
        <f>G551</f>
        <v>41349.9</v>
      </c>
      <c r="H550" s="38">
        <f t="shared" ref="H550:I552" si="265">H551</f>
        <v>37441</v>
      </c>
      <c r="I550" s="38">
        <f t="shared" si="265"/>
        <v>37441</v>
      </c>
      <c r="J550" s="1"/>
    </row>
    <row r="551" spans="1:10" ht="31.5" outlineLevel="2">
      <c r="A551" s="15" t="s">
        <v>48</v>
      </c>
      <c r="B551" s="16" t="s">
        <v>391</v>
      </c>
      <c r="C551" s="17" t="s">
        <v>6</v>
      </c>
      <c r="D551" s="17" t="s">
        <v>49</v>
      </c>
      <c r="E551" s="17" t="s">
        <v>3</v>
      </c>
      <c r="F551" s="17" t="s">
        <v>4</v>
      </c>
      <c r="G551" s="39">
        <f>G552+G578</f>
        <v>41349.9</v>
      </c>
      <c r="H551" s="39">
        <f t="shared" si="265"/>
        <v>37441</v>
      </c>
      <c r="I551" s="39">
        <f t="shared" si="265"/>
        <v>37441</v>
      </c>
      <c r="J551" s="1"/>
    </row>
    <row r="552" spans="1:10" ht="78.75" outlineLevel="3">
      <c r="A552" s="18" t="s">
        <v>392</v>
      </c>
      <c r="B552" s="19" t="s">
        <v>391</v>
      </c>
      <c r="C552" s="20" t="s">
        <v>6</v>
      </c>
      <c r="D552" s="20" t="s">
        <v>49</v>
      </c>
      <c r="E552" s="20" t="s">
        <v>393</v>
      </c>
      <c r="F552" s="20" t="s">
        <v>4</v>
      </c>
      <c r="G552" s="40">
        <f>G553</f>
        <v>40942</v>
      </c>
      <c r="H552" s="40">
        <f t="shared" si="265"/>
        <v>37441</v>
      </c>
      <c r="I552" s="40">
        <f t="shared" si="265"/>
        <v>37441</v>
      </c>
      <c r="J552" s="1"/>
    </row>
    <row r="553" spans="1:10" ht="31.5" outlineLevel="4">
      <c r="A553" s="18" t="s">
        <v>11</v>
      </c>
      <c r="B553" s="19" t="s">
        <v>391</v>
      </c>
      <c r="C553" s="20" t="s">
        <v>6</v>
      </c>
      <c r="D553" s="20" t="s">
        <v>49</v>
      </c>
      <c r="E553" s="20" t="s">
        <v>394</v>
      </c>
      <c r="F553" s="20" t="s">
        <v>4</v>
      </c>
      <c r="G553" s="40">
        <f>G554+G561+G566</f>
        <v>40942</v>
      </c>
      <c r="H553" s="40">
        <f t="shared" ref="H553:I553" si="266">H554+H561+H566</f>
        <v>37441</v>
      </c>
      <c r="I553" s="40">
        <f t="shared" si="266"/>
        <v>37441</v>
      </c>
      <c r="J553" s="1"/>
    </row>
    <row r="554" spans="1:10" ht="78" customHeight="1" outlineLevel="5">
      <c r="A554" s="18" t="s">
        <v>395</v>
      </c>
      <c r="B554" s="19" t="s">
        <v>391</v>
      </c>
      <c r="C554" s="20" t="s">
        <v>6</v>
      </c>
      <c r="D554" s="20" t="s">
        <v>49</v>
      </c>
      <c r="E554" s="20" t="s">
        <v>396</v>
      </c>
      <c r="F554" s="20" t="s">
        <v>4</v>
      </c>
      <c r="G554" s="40">
        <f>G555+G557+G559</f>
        <v>664.51244999999994</v>
      </c>
      <c r="H554" s="40">
        <f t="shared" ref="H554:I554" si="267">H555+H557+H559</f>
        <v>675</v>
      </c>
      <c r="I554" s="40">
        <f t="shared" si="267"/>
        <v>675</v>
      </c>
      <c r="J554" s="1"/>
    </row>
    <row r="555" spans="1:10" ht="47.25" outlineLevel="6">
      <c r="A555" s="18" t="s">
        <v>397</v>
      </c>
      <c r="B555" s="19" t="s">
        <v>391</v>
      </c>
      <c r="C555" s="20" t="s">
        <v>6</v>
      </c>
      <c r="D555" s="20" t="s">
        <v>49</v>
      </c>
      <c r="E555" s="20" t="s">
        <v>398</v>
      </c>
      <c r="F555" s="20" t="s">
        <v>4</v>
      </c>
      <c r="G555" s="40">
        <f>G556</f>
        <v>0</v>
      </c>
      <c r="H555" s="40">
        <f t="shared" ref="H555:I555" si="268">H556</f>
        <v>200</v>
      </c>
      <c r="I555" s="40">
        <f t="shared" si="268"/>
        <v>200</v>
      </c>
      <c r="J555" s="1"/>
    </row>
    <row r="556" spans="1:10" ht="63" outlineLevel="7">
      <c r="A556" s="18" t="s">
        <v>27</v>
      </c>
      <c r="B556" s="19" t="s">
        <v>391</v>
      </c>
      <c r="C556" s="20" t="s">
        <v>6</v>
      </c>
      <c r="D556" s="20" t="s">
        <v>49</v>
      </c>
      <c r="E556" s="20" t="s">
        <v>398</v>
      </c>
      <c r="F556" s="20" t="s">
        <v>28</v>
      </c>
      <c r="G556" s="40">
        <f>200-100-100</f>
        <v>0</v>
      </c>
      <c r="H556" s="40">
        <v>200</v>
      </c>
      <c r="I556" s="40">
        <v>200</v>
      </c>
      <c r="J556" s="1"/>
    </row>
    <row r="557" spans="1:10" ht="31.5" outlineLevel="6">
      <c r="A557" s="18" t="s">
        <v>399</v>
      </c>
      <c r="B557" s="19" t="s">
        <v>391</v>
      </c>
      <c r="C557" s="20" t="s">
        <v>6</v>
      </c>
      <c r="D557" s="20" t="s">
        <v>49</v>
      </c>
      <c r="E557" s="20" t="s">
        <v>400</v>
      </c>
      <c r="F557" s="20" t="s">
        <v>4</v>
      </c>
      <c r="G557" s="40">
        <f>G558</f>
        <v>159.51245</v>
      </c>
      <c r="H557" s="40">
        <f t="shared" ref="H557:I557" si="269">H558</f>
        <v>170</v>
      </c>
      <c r="I557" s="40">
        <f t="shared" si="269"/>
        <v>170</v>
      </c>
      <c r="J557" s="1"/>
    </row>
    <row r="558" spans="1:10" ht="63" outlineLevel="7">
      <c r="A558" s="18" t="s">
        <v>27</v>
      </c>
      <c r="B558" s="19" t="s">
        <v>391</v>
      </c>
      <c r="C558" s="20" t="s">
        <v>6</v>
      </c>
      <c r="D558" s="20" t="s">
        <v>49</v>
      </c>
      <c r="E558" s="20" t="s">
        <v>400</v>
      </c>
      <c r="F558" s="20" t="s">
        <v>28</v>
      </c>
      <c r="G558" s="40">
        <f>170-10.487-0.00055</f>
        <v>159.51245</v>
      </c>
      <c r="H558" s="40">
        <v>170</v>
      </c>
      <c r="I558" s="40">
        <v>170</v>
      </c>
      <c r="J558" s="1"/>
    </row>
    <row r="559" spans="1:10" ht="47.25" outlineLevel="6">
      <c r="A559" s="18" t="s">
        <v>401</v>
      </c>
      <c r="B559" s="19" t="s">
        <v>391</v>
      </c>
      <c r="C559" s="20" t="s">
        <v>6</v>
      </c>
      <c r="D559" s="20" t="s">
        <v>49</v>
      </c>
      <c r="E559" s="20" t="s">
        <v>402</v>
      </c>
      <c r="F559" s="20" t="s">
        <v>4</v>
      </c>
      <c r="G559" s="40">
        <f>G560</f>
        <v>505</v>
      </c>
      <c r="H559" s="40">
        <f t="shared" ref="H559:I559" si="270">H560</f>
        <v>305</v>
      </c>
      <c r="I559" s="40">
        <f t="shared" si="270"/>
        <v>305</v>
      </c>
      <c r="J559" s="1"/>
    </row>
    <row r="560" spans="1:10" ht="63" outlineLevel="7">
      <c r="A560" s="18" t="s">
        <v>27</v>
      </c>
      <c r="B560" s="19" t="s">
        <v>391</v>
      </c>
      <c r="C560" s="20" t="s">
        <v>6</v>
      </c>
      <c r="D560" s="20" t="s">
        <v>49</v>
      </c>
      <c r="E560" s="20" t="s">
        <v>402</v>
      </c>
      <c r="F560" s="20" t="s">
        <v>28</v>
      </c>
      <c r="G560" s="40">
        <f>305+100+100</f>
        <v>505</v>
      </c>
      <c r="H560" s="40">
        <v>305</v>
      </c>
      <c r="I560" s="40">
        <v>305</v>
      </c>
      <c r="J560" s="1"/>
    </row>
    <row r="561" spans="1:10" ht="47.25" outlineLevel="5">
      <c r="A561" s="18" t="s">
        <v>403</v>
      </c>
      <c r="B561" s="19" t="s">
        <v>391</v>
      </c>
      <c r="C561" s="20" t="s">
        <v>6</v>
      </c>
      <c r="D561" s="20" t="s">
        <v>49</v>
      </c>
      <c r="E561" s="20" t="s">
        <v>404</v>
      </c>
      <c r="F561" s="20" t="s">
        <v>4</v>
      </c>
      <c r="G561" s="40">
        <f>G562+G564</f>
        <v>702.678</v>
      </c>
      <c r="H561" s="40">
        <f t="shared" ref="H561:I561" si="271">H562+H564</f>
        <v>368</v>
      </c>
      <c r="I561" s="40">
        <f t="shared" si="271"/>
        <v>368</v>
      </c>
      <c r="J561" s="1"/>
    </row>
    <row r="562" spans="1:10" ht="47.25" outlineLevel="6">
      <c r="A562" s="18" t="s">
        <v>405</v>
      </c>
      <c r="B562" s="19" t="s">
        <v>391</v>
      </c>
      <c r="C562" s="20" t="s">
        <v>6</v>
      </c>
      <c r="D562" s="20" t="s">
        <v>49</v>
      </c>
      <c r="E562" s="20" t="s">
        <v>406</v>
      </c>
      <c r="F562" s="20" t="s">
        <v>4</v>
      </c>
      <c r="G562" s="40">
        <f>G563</f>
        <v>74.277999999999992</v>
      </c>
      <c r="H562" s="40">
        <f t="shared" ref="H562:I562" si="272">H563</f>
        <v>20</v>
      </c>
      <c r="I562" s="40">
        <f t="shared" si="272"/>
        <v>20</v>
      </c>
      <c r="J562" s="1"/>
    </row>
    <row r="563" spans="1:10" ht="31.5" outlineLevel="7">
      <c r="A563" s="18" t="s">
        <v>63</v>
      </c>
      <c r="B563" s="19" t="s">
        <v>391</v>
      </c>
      <c r="C563" s="20" t="s">
        <v>6</v>
      </c>
      <c r="D563" s="20" t="s">
        <v>49</v>
      </c>
      <c r="E563" s="20" t="s">
        <v>406</v>
      </c>
      <c r="F563" s="20" t="s">
        <v>64</v>
      </c>
      <c r="G563" s="40">
        <f>20+25.778+28.5</f>
        <v>74.277999999999992</v>
      </c>
      <c r="H563" s="40">
        <v>20</v>
      </c>
      <c r="I563" s="40">
        <v>20</v>
      </c>
      <c r="J563" s="1"/>
    </row>
    <row r="564" spans="1:10" ht="141.75" outlineLevel="6">
      <c r="A564" s="18" t="s">
        <v>407</v>
      </c>
      <c r="B564" s="19" t="s">
        <v>391</v>
      </c>
      <c r="C564" s="20" t="s">
        <v>6</v>
      </c>
      <c r="D564" s="20" t="s">
        <v>49</v>
      </c>
      <c r="E564" s="20" t="s">
        <v>408</v>
      </c>
      <c r="F564" s="20" t="s">
        <v>4</v>
      </c>
      <c r="G564" s="40">
        <f>G565</f>
        <v>628.4</v>
      </c>
      <c r="H564" s="40">
        <f t="shared" ref="H564:I564" si="273">H565</f>
        <v>348</v>
      </c>
      <c r="I564" s="40">
        <f t="shared" si="273"/>
        <v>348</v>
      </c>
      <c r="J564" s="1"/>
    </row>
    <row r="565" spans="1:10" ht="63" outlineLevel="7">
      <c r="A565" s="18" t="s">
        <v>27</v>
      </c>
      <c r="B565" s="19" t="s">
        <v>391</v>
      </c>
      <c r="C565" s="20" t="s">
        <v>6</v>
      </c>
      <c r="D565" s="20" t="s">
        <v>49</v>
      </c>
      <c r="E565" s="20" t="s">
        <v>408</v>
      </c>
      <c r="F565" s="20" t="s">
        <v>28</v>
      </c>
      <c r="G565" s="40">
        <f>348+280.4</f>
        <v>628.4</v>
      </c>
      <c r="H565" s="40">
        <v>348</v>
      </c>
      <c r="I565" s="40">
        <v>348</v>
      </c>
      <c r="J565" s="1"/>
    </row>
    <row r="566" spans="1:10" ht="63" outlineLevel="5">
      <c r="A566" s="18" t="s">
        <v>69</v>
      </c>
      <c r="B566" s="19" t="s">
        <v>391</v>
      </c>
      <c r="C566" s="20" t="s">
        <v>6</v>
      </c>
      <c r="D566" s="20" t="s">
        <v>49</v>
      </c>
      <c r="E566" s="20" t="s">
        <v>409</v>
      </c>
      <c r="F566" s="20" t="s">
        <v>4</v>
      </c>
      <c r="G566" s="40">
        <f>G567+G571+G574</f>
        <v>39574.809549999998</v>
      </c>
      <c r="H566" s="40">
        <f>H567+H574</f>
        <v>36398</v>
      </c>
      <c r="I566" s="40">
        <f>I567+I574</f>
        <v>36398</v>
      </c>
      <c r="J566" s="1"/>
    </row>
    <row r="567" spans="1:10" ht="47.25" outlineLevel="6">
      <c r="A567" s="18" t="s">
        <v>21</v>
      </c>
      <c r="B567" s="19" t="s">
        <v>391</v>
      </c>
      <c r="C567" s="20" t="s">
        <v>6</v>
      </c>
      <c r="D567" s="20" t="s">
        <v>49</v>
      </c>
      <c r="E567" s="20" t="s">
        <v>410</v>
      </c>
      <c r="F567" s="20" t="s">
        <v>4</v>
      </c>
      <c r="G567" s="40">
        <f>G568+G569+G570</f>
        <v>16606.686359999996</v>
      </c>
      <c r="H567" s="40">
        <f t="shared" ref="H567:I567" si="274">H568+H569+H570</f>
        <v>16796.300000000003</v>
      </c>
      <c r="I567" s="40">
        <f t="shared" si="274"/>
        <v>16796.300000000003</v>
      </c>
      <c r="J567" s="1"/>
    </row>
    <row r="568" spans="1:10" ht="132" customHeight="1" outlineLevel="7">
      <c r="A568" s="18" t="s">
        <v>17</v>
      </c>
      <c r="B568" s="19" t="s">
        <v>391</v>
      </c>
      <c r="C568" s="20" t="s">
        <v>6</v>
      </c>
      <c r="D568" s="20" t="s">
        <v>49</v>
      </c>
      <c r="E568" s="20" t="s">
        <v>410</v>
      </c>
      <c r="F568" s="20" t="s">
        <v>18</v>
      </c>
      <c r="G568" s="40">
        <f>13998+551.3-1267.1+13-25.778+2060.1</f>
        <v>15329.521999999999</v>
      </c>
      <c r="H568" s="40">
        <v>13998</v>
      </c>
      <c r="I568" s="40">
        <v>13998</v>
      </c>
      <c r="J568" s="1"/>
    </row>
    <row r="569" spans="1:10" ht="63" outlineLevel="7">
      <c r="A569" s="18" t="s">
        <v>27</v>
      </c>
      <c r="B569" s="19" t="s">
        <v>391</v>
      </c>
      <c r="C569" s="20" t="s">
        <v>6</v>
      </c>
      <c r="D569" s="20" t="s">
        <v>49</v>
      </c>
      <c r="E569" s="20" t="s">
        <v>410</v>
      </c>
      <c r="F569" s="20" t="s">
        <v>28</v>
      </c>
      <c r="G569" s="40">
        <f>2797.9-154.5-331.5248-40-285.56183-0.0004-96.82324-187.82194-424.90438+0.00055</f>
        <v>1276.76396</v>
      </c>
      <c r="H569" s="40">
        <v>2797.9</v>
      </c>
      <c r="I569" s="40">
        <v>2797.9</v>
      </c>
      <c r="J569" s="1"/>
    </row>
    <row r="570" spans="1:10" ht="31.5" outlineLevel="7">
      <c r="A570" s="18" t="s">
        <v>63</v>
      </c>
      <c r="B570" s="19" t="s">
        <v>391</v>
      </c>
      <c r="C570" s="20" t="s">
        <v>6</v>
      </c>
      <c r="D570" s="20" t="s">
        <v>49</v>
      </c>
      <c r="E570" s="20" t="s">
        <v>410</v>
      </c>
      <c r="F570" s="20" t="s">
        <v>64</v>
      </c>
      <c r="G570" s="40">
        <f>0.4+0.0004</f>
        <v>0.40040000000000003</v>
      </c>
      <c r="H570" s="40">
        <v>0.4</v>
      </c>
      <c r="I570" s="40">
        <v>0.4</v>
      </c>
      <c r="J570" s="1"/>
    </row>
    <row r="571" spans="1:10" ht="15.75" outlineLevel="7">
      <c r="A571" s="18" t="s">
        <v>689</v>
      </c>
      <c r="B571" s="19" t="s">
        <v>391</v>
      </c>
      <c r="C571" s="20" t="s">
        <v>6</v>
      </c>
      <c r="D571" s="20" t="s">
        <v>49</v>
      </c>
      <c r="E571" s="20" t="s">
        <v>690</v>
      </c>
      <c r="F571" s="20" t="s">
        <v>4</v>
      </c>
      <c r="G571" s="40">
        <f>G572+G573</f>
        <v>2229.7231900000002</v>
      </c>
      <c r="H571" s="40">
        <f t="shared" ref="H571:I571" si="275">H572+H573</f>
        <v>0</v>
      </c>
      <c r="I571" s="40">
        <f t="shared" si="275"/>
        <v>0</v>
      </c>
      <c r="J571" s="1"/>
    </row>
    <row r="572" spans="1:10" ht="63" outlineLevel="7">
      <c r="A572" s="18" t="s">
        <v>27</v>
      </c>
      <c r="B572" s="19" t="s">
        <v>391</v>
      </c>
      <c r="C572" s="20" t="s">
        <v>6</v>
      </c>
      <c r="D572" s="20" t="s">
        <v>49</v>
      </c>
      <c r="E572" s="20" t="s">
        <v>690</v>
      </c>
      <c r="F572" s="20" t="s">
        <v>28</v>
      </c>
      <c r="G572" s="40">
        <f>473.42+269.9+254.00583+93.08924+179.99194+423.39138</f>
        <v>1693.7983899999999</v>
      </c>
      <c r="H572" s="40">
        <v>0</v>
      </c>
      <c r="I572" s="40">
        <v>0</v>
      </c>
      <c r="J572" s="1"/>
    </row>
    <row r="573" spans="1:10" ht="31.5" outlineLevel="7">
      <c r="A573" s="18" t="s">
        <v>63</v>
      </c>
      <c r="B573" s="19" t="s">
        <v>391</v>
      </c>
      <c r="C573" s="20" t="s">
        <v>6</v>
      </c>
      <c r="D573" s="20" t="s">
        <v>49</v>
      </c>
      <c r="E573" s="20" t="s">
        <v>690</v>
      </c>
      <c r="F573" s="20" t="s">
        <v>64</v>
      </c>
      <c r="G573" s="40">
        <f>35.48+102.3+331.5248+40+3.056+3.734+7.83+12</f>
        <v>535.92480000000012</v>
      </c>
      <c r="H573" s="40">
        <v>0</v>
      </c>
      <c r="I573" s="40">
        <v>0</v>
      </c>
      <c r="J573" s="1"/>
    </row>
    <row r="574" spans="1:10" ht="78.75" outlineLevel="7">
      <c r="A574" s="18" t="s">
        <v>705</v>
      </c>
      <c r="B574" s="19" t="s">
        <v>391</v>
      </c>
      <c r="C574" s="20" t="s">
        <v>6</v>
      </c>
      <c r="D574" s="20" t="s">
        <v>49</v>
      </c>
      <c r="E574" s="20" t="s">
        <v>708</v>
      </c>
      <c r="F574" s="20" t="s">
        <v>4</v>
      </c>
      <c r="G574" s="40">
        <f>G575+G576+G577</f>
        <v>20738.400000000001</v>
      </c>
      <c r="H574" s="40">
        <f t="shared" ref="H574:I574" si="276">H575+H576+H577</f>
        <v>19601.7</v>
      </c>
      <c r="I574" s="40">
        <f t="shared" si="276"/>
        <v>19601.7</v>
      </c>
      <c r="J574" s="1"/>
    </row>
    <row r="575" spans="1:10" ht="110.25" customHeight="1" outlineLevel="7">
      <c r="A575" s="18" t="s">
        <v>706</v>
      </c>
      <c r="B575" s="19" t="s">
        <v>391</v>
      </c>
      <c r="C575" s="20" t="s">
        <v>6</v>
      </c>
      <c r="D575" s="20" t="s">
        <v>49</v>
      </c>
      <c r="E575" s="20" t="s">
        <v>708</v>
      </c>
      <c r="F575" s="20" t="s">
        <v>18</v>
      </c>
      <c r="G575" s="40">
        <f>10760.6+353+337.4+103.7</f>
        <v>11554.7</v>
      </c>
      <c r="H575" s="40">
        <v>10580.1</v>
      </c>
      <c r="I575" s="40">
        <v>10580.1</v>
      </c>
      <c r="J575" s="1"/>
    </row>
    <row r="576" spans="1:10" ht="47.25" outlineLevel="7">
      <c r="A576" s="18" t="s">
        <v>680</v>
      </c>
      <c r="B576" s="19" t="s">
        <v>391</v>
      </c>
      <c r="C576" s="20" t="s">
        <v>6</v>
      </c>
      <c r="D576" s="20" t="s">
        <v>49</v>
      </c>
      <c r="E576" s="20" t="s">
        <v>708</v>
      </c>
      <c r="F576" s="20" t="s">
        <v>28</v>
      </c>
      <c r="G576" s="40">
        <f>8399.5+249.2-21.9019</f>
        <v>8626.7981</v>
      </c>
      <c r="H576" s="40">
        <v>8491.6</v>
      </c>
      <c r="I576" s="40">
        <v>8491.6</v>
      </c>
      <c r="J576" s="1"/>
    </row>
    <row r="577" spans="1:10" ht="18.75" customHeight="1" outlineLevel="7">
      <c r="A577" s="18" t="s">
        <v>707</v>
      </c>
      <c r="B577" s="19" t="s">
        <v>391</v>
      </c>
      <c r="C577" s="20" t="s">
        <v>6</v>
      </c>
      <c r="D577" s="20" t="s">
        <v>49</v>
      </c>
      <c r="E577" s="20" t="s">
        <v>708</v>
      </c>
      <c r="F577" s="20" t="s">
        <v>64</v>
      </c>
      <c r="G577" s="40">
        <f>530+5+21.9019</f>
        <v>556.90189999999996</v>
      </c>
      <c r="H577" s="40">
        <v>530</v>
      </c>
      <c r="I577" s="40">
        <v>530</v>
      </c>
      <c r="J577" s="1"/>
    </row>
    <row r="578" spans="1:10" ht="37.5" customHeight="1" outlineLevel="7">
      <c r="A578" s="18" t="s">
        <v>140</v>
      </c>
      <c r="B578" s="19" t="s">
        <v>391</v>
      </c>
      <c r="C578" s="20" t="s">
        <v>6</v>
      </c>
      <c r="D578" s="20" t="s">
        <v>49</v>
      </c>
      <c r="E578" s="20" t="s">
        <v>141</v>
      </c>
      <c r="F578" s="20" t="s">
        <v>4</v>
      </c>
      <c r="G578" s="40">
        <f t="shared" ref="G578:G579" si="277">G579</f>
        <v>407.9</v>
      </c>
      <c r="H578" s="40">
        <f t="shared" ref="H578:H579" si="278">H579</f>
        <v>0</v>
      </c>
      <c r="I578" s="40">
        <f t="shared" ref="I578:I579" si="279">I579</f>
        <v>0</v>
      </c>
      <c r="J578" s="1"/>
    </row>
    <row r="579" spans="1:10" ht="15.75" customHeight="1" outlineLevel="7">
      <c r="A579" s="18" t="s">
        <v>142</v>
      </c>
      <c r="B579" s="19" t="s">
        <v>391</v>
      </c>
      <c r="C579" s="20" t="s">
        <v>6</v>
      </c>
      <c r="D579" s="20" t="s">
        <v>49</v>
      </c>
      <c r="E579" s="20" t="s">
        <v>143</v>
      </c>
      <c r="F579" s="20" t="s">
        <v>4</v>
      </c>
      <c r="G579" s="40">
        <f t="shared" si="277"/>
        <v>407.9</v>
      </c>
      <c r="H579" s="40">
        <f t="shared" si="278"/>
        <v>0</v>
      </c>
      <c r="I579" s="40">
        <f t="shared" si="279"/>
        <v>0</v>
      </c>
      <c r="J579" s="1"/>
    </row>
    <row r="580" spans="1:10" ht="96.75" customHeight="1" outlineLevel="7">
      <c r="A580" s="21" t="s">
        <v>769</v>
      </c>
      <c r="B580" s="19" t="s">
        <v>391</v>
      </c>
      <c r="C580" s="20" t="s">
        <v>6</v>
      </c>
      <c r="D580" s="20" t="s">
        <v>49</v>
      </c>
      <c r="E580" s="23">
        <v>9990055491</v>
      </c>
      <c r="F580" s="19" t="s">
        <v>4</v>
      </c>
      <c r="G580" s="40">
        <f>G581</f>
        <v>407.9</v>
      </c>
      <c r="H580" s="40">
        <f>H581</f>
        <v>0</v>
      </c>
      <c r="I580" s="40">
        <f>I581</f>
        <v>0</v>
      </c>
      <c r="J580" s="1"/>
    </row>
    <row r="581" spans="1:10" ht="127.5" customHeight="1" outlineLevel="7">
      <c r="A581" s="18" t="s">
        <v>17</v>
      </c>
      <c r="B581" s="19" t="s">
        <v>391</v>
      </c>
      <c r="C581" s="20" t="s">
        <v>6</v>
      </c>
      <c r="D581" s="20" t="s">
        <v>49</v>
      </c>
      <c r="E581" s="23">
        <v>9990055491</v>
      </c>
      <c r="F581" s="19" t="s">
        <v>18</v>
      </c>
      <c r="G581" s="40">
        <v>407.9</v>
      </c>
      <c r="H581" s="40">
        <v>0</v>
      </c>
      <c r="I581" s="40">
        <v>0</v>
      </c>
      <c r="J581" s="1"/>
    </row>
    <row r="582" spans="1:10" ht="31.5" outlineLevel="1">
      <c r="A582" s="12" t="s">
        <v>91</v>
      </c>
      <c r="B582" s="13" t="s">
        <v>391</v>
      </c>
      <c r="C582" s="14" t="s">
        <v>20</v>
      </c>
      <c r="D582" s="14" t="s">
        <v>2</v>
      </c>
      <c r="E582" s="14" t="s">
        <v>3</v>
      </c>
      <c r="F582" s="14" t="s">
        <v>4</v>
      </c>
      <c r="G582" s="38">
        <f t="shared" ref="G582:G587" si="280">G583</f>
        <v>1487.1000000000001</v>
      </c>
      <c r="H582" s="38">
        <f t="shared" ref="H582:I587" si="281">H583</f>
        <v>1435.2</v>
      </c>
      <c r="I582" s="38">
        <f t="shared" si="281"/>
        <v>1435.2</v>
      </c>
      <c r="J582" s="1"/>
    </row>
    <row r="583" spans="1:10" ht="31.5" outlineLevel="2">
      <c r="A583" s="15" t="s">
        <v>92</v>
      </c>
      <c r="B583" s="16" t="s">
        <v>391</v>
      </c>
      <c r="C583" s="17" t="s">
        <v>20</v>
      </c>
      <c r="D583" s="17" t="s">
        <v>93</v>
      </c>
      <c r="E583" s="17" t="s">
        <v>3</v>
      </c>
      <c r="F583" s="17" t="s">
        <v>4</v>
      </c>
      <c r="G583" s="39">
        <f t="shared" si="280"/>
        <v>1487.1000000000001</v>
      </c>
      <c r="H583" s="39">
        <f t="shared" si="281"/>
        <v>1435.2</v>
      </c>
      <c r="I583" s="39">
        <f t="shared" si="281"/>
        <v>1435.2</v>
      </c>
      <c r="J583" s="1"/>
    </row>
    <row r="584" spans="1:10" ht="63" outlineLevel="3">
      <c r="A584" s="18" t="s">
        <v>411</v>
      </c>
      <c r="B584" s="19" t="s">
        <v>391</v>
      </c>
      <c r="C584" s="20" t="s">
        <v>20</v>
      </c>
      <c r="D584" s="20" t="s">
        <v>93</v>
      </c>
      <c r="E584" s="20" t="s">
        <v>412</v>
      </c>
      <c r="F584" s="20" t="s">
        <v>4</v>
      </c>
      <c r="G584" s="40">
        <f t="shared" si="280"/>
        <v>1487.1000000000001</v>
      </c>
      <c r="H584" s="40">
        <f t="shared" si="281"/>
        <v>1435.2</v>
      </c>
      <c r="I584" s="40">
        <f t="shared" si="281"/>
        <v>1435.2</v>
      </c>
      <c r="J584" s="1"/>
    </row>
    <row r="585" spans="1:10" ht="31.5" outlineLevel="4">
      <c r="A585" s="18" t="s">
        <v>11</v>
      </c>
      <c r="B585" s="19" t="s">
        <v>391</v>
      </c>
      <c r="C585" s="20" t="s">
        <v>20</v>
      </c>
      <c r="D585" s="20" t="s">
        <v>93</v>
      </c>
      <c r="E585" s="20" t="s">
        <v>413</v>
      </c>
      <c r="F585" s="20" t="s">
        <v>4</v>
      </c>
      <c r="G585" s="40">
        <f t="shared" si="280"/>
        <v>1487.1000000000001</v>
      </c>
      <c r="H585" s="40">
        <f t="shared" si="281"/>
        <v>1435.2</v>
      </c>
      <c r="I585" s="40">
        <f t="shared" si="281"/>
        <v>1435.2</v>
      </c>
      <c r="J585" s="1"/>
    </row>
    <row r="586" spans="1:10" ht="63" outlineLevel="5">
      <c r="A586" s="18" t="s">
        <v>414</v>
      </c>
      <c r="B586" s="19" t="s">
        <v>391</v>
      </c>
      <c r="C586" s="20" t="s">
        <v>20</v>
      </c>
      <c r="D586" s="20" t="s">
        <v>93</v>
      </c>
      <c r="E586" s="20" t="s">
        <v>415</v>
      </c>
      <c r="F586" s="20" t="s">
        <v>4</v>
      </c>
      <c r="G586" s="40">
        <f t="shared" si="280"/>
        <v>1487.1000000000001</v>
      </c>
      <c r="H586" s="40">
        <f t="shared" si="281"/>
        <v>1435.2</v>
      </c>
      <c r="I586" s="40">
        <f t="shared" si="281"/>
        <v>1435.2</v>
      </c>
      <c r="J586" s="1"/>
    </row>
    <row r="587" spans="1:10" ht="78.75" outlineLevel="6">
      <c r="A587" s="18" t="s">
        <v>416</v>
      </c>
      <c r="B587" s="19" t="s">
        <v>391</v>
      </c>
      <c r="C587" s="20" t="s">
        <v>20</v>
      </c>
      <c r="D587" s="20" t="s">
        <v>93</v>
      </c>
      <c r="E587" s="20" t="s">
        <v>417</v>
      </c>
      <c r="F587" s="20" t="s">
        <v>4</v>
      </c>
      <c r="G587" s="40">
        <f t="shared" si="280"/>
        <v>1487.1000000000001</v>
      </c>
      <c r="H587" s="40">
        <f t="shared" si="281"/>
        <v>1435.2</v>
      </c>
      <c r="I587" s="40">
        <f t="shared" si="281"/>
        <v>1435.2</v>
      </c>
      <c r="J587" s="1"/>
    </row>
    <row r="588" spans="1:10" ht="66" customHeight="1" outlineLevel="7">
      <c r="A588" s="18" t="s">
        <v>103</v>
      </c>
      <c r="B588" s="19" t="s">
        <v>391</v>
      </c>
      <c r="C588" s="20" t="s">
        <v>20</v>
      </c>
      <c r="D588" s="20" t="s">
        <v>93</v>
      </c>
      <c r="E588" s="20" t="s">
        <v>417</v>
      </c>
      <c r="F588" s="20" t="s">
        <v>104</v>
      </c>
      <c r="G588" s="40">
        <f>1435.2+51.9</f>
        <v>1487.1000000000001</v>
      </c>
      <c r="H588" s="40">
        <v>1435.2</v>
      </c>
      <c r="I588" s="40">
        <v>1435.2</v>
      </c>
      <c r="J588" s="1"/>
    </row>
    <row r="589" spans="1:10" ht="47.25">
      <c r="A589" s="12" t="s">
        <v>418</v>
      </c>
      <c r="B589" s="13" t="s">
        <v>419</v>
      </c>
      <c r="C589" s="14" t="s">
        <v>2</v>
      </c>
      <c r="D589" s="14" t="s">
        <v>2</v>
      </c>
      <c r="E589" s="14" t="s">
        <v>3</v>
      </c>
      <c r="F589" s="14" t="s">
        <v>4</v>
      </c>
      <c r="G589" s="38">
        <f>G590+G597</f>
        <v>248156.57699999999</v>
      </c>
      <c r="H589" s="38">
        <f t="shared" ref="H589:I589" si="282">H590+H597</f>
        <v>223214.1</v>
      </c>
      <c r="I589" s="38">
        <f t="shared" si="282"/>
        <v>211049.1</v>
      </c>
      <c r="J589" s="1"/>
    </row>
    <row r="590" spans="1:10" ht="15.75" outlineLevel="1">
      <c r="A590" s="12" t="s">
        <v>105</v>
      </c>
      <c r="B590" s="13" t="s">
        <v>419</v>
      </c>
      <c r="C590" s="14" t="s">
        <v>106</v>
      </c>
      <c r="D590" s="14" t="s">
        <v>2</v>
      </c>
      <c r="E590" s="14" t="s">
        <v>3</v>
      </c>
      <c r="F590" s="14" t="s">
        <v>4</v>
      </c>
      <c r="G590" s="38">
        <f t="shared" ref="G590:G595" si="283">G591</f>
        <v>6</v>
      </c>
      <c r="H590" s="38">
        <f t="shared" ref="H590:I595" si="284">H591</f>
        <v>6</v>
      </c>
      <c r="I590" s="38">
        <f t="shared" si="284"/>
        <v>6</v>
      </c>
      <c r="J590" s="1"/>
    </row>
    <row r="591" spans="1:10" ht="18" customHeight="1" outlineLevel="2">
      <c r="A591" s="15" t="s">
        <v>110</v>
      </c>
      <c r="B591" s="16" t="s">
        <v>419</v>
      </c>
      <c r="C591" s="17" t="s">
        <v>106</v>
      </c>
      <c r="D591" s="17" t="s">
        <v>81</v>
      </c>
      <c r="E591" s="17" t="s">
        <v>3</v>
      </c>
      <c r="F591" s="17" t="s">
        <v>4</v>
      </c>
      <c r="G591" s="39">
        <f t="shared" si="283"/>
        <v>6</v>
      </c>
      <c r="H591" s="39">
        <f t="shared" si="284"/>
        <v>6</v>
      </c>
      <c r="I591" s="39">
        <f t="shared" si="284"/>
        <v>6</v>
      </c>
      <c r="J591" s="1"/>
    </row>
    <row r="592" spans="1:10" ht="63" outlineLevel="3">
      <c r="A592" s="18" t="s">
        <v>420</v>
      </c>
      <c r="B592" s="19" t="s">
        <v>419</v>
      </c>
      <c r="C592" s="20" t="s">
        <v>106</v>
      </c>
      <c r="D592" s="20" t="s">
        <v>81</v>
      </c>
      <c r="E592" s="20" t="s">
        <v>421</v>
      </c>
      <c r="F592" s="20" t="s">
        <v>4</v>
      </c>
      <c r="G592" s="40">
        <f t="shared" si="283"/>
        <v>6</v>
      </c>
      <c r="H592" s="40">
        <f t="shared" si="284"/>
        <v>6</v>
      </c>
      <c r="I592" s="40">
        <f t="shared" si="284"/>
        <v>6</v>
      </c>
      <c r="J592" s="1"/>
    </row>
    <row r="593" spans="1:10" ht="31.5" outlineLevel="4">
      <c r="A593" s="18" t="s">
        <v>11</v>
      </c>
      <c r="B593" s="19" t="s">
        <v>419</v>
      </c>
      <c r="C593" s="20" t="s">
        <v>106</v>
      </c>
      <c r="D593" s="20" t="s">
        <v>81</v>
      </c>
      <c r="E593" s="20" t="s">
        <v>422</v>
      </c>
      <c r="F593" s="20" t="s">
        <v>4</v>
      </c>
      <c r="G593" s="40">
        <f t="shared" si="283"/>
        <v>6</v>
      </c>
      <c r="H593" s="40">
        <f t="shared" si="284"/>
        <v>6</v>
      </c>
      <c r="I593" s="40">
        <f t="shared" si="284"/>
        <v>6</v>
      </c>
      <c r="J593" s="1"/>
    </row>
    <row r="594" spans="1:10" ht="63" outlineLevel="5">
      <c r="A594" s="18" t="s">
        <v>69</v>
      </c>
      <c r="B594" s="19" t="s">
        <v>419</v>
      </c>
      <c r="C594" s="20" t="s">
        <v>106</v>
      </c>
      <c r="D594" s="20" t="s">
        <v>81</v>
      </c>
      <c r="E594" s="20" t="s">
        <v>423</v>
      </c>
      <c r="F594" s="20" t="s">
        <v>4</v>
      </c>
      <c r="G594" s="40">
        <f t="shared" si="283"/>
        <v>6</v>
      </c>
      <c r="H594" s="40">
        <f t="shared" si="284"/>
        <v>6</v>
      </c>
      <c r="I594" s="40">
        <f t="shared" si="284"/>
        <v>6</v>
      </c>
      <c r="J594" s="1"/>
    </row>
    <row r="595" spans="1:10" ht="47.25" outlineLevel="6">
      <c r="A595" s="18" t="s">
        <v>424</v>
      </c>
      <c r="B595" s="19" t="s">
        <v>419</v>
      </c>
      <c r="C595" s="20" t="s">
        <v>106</v>
      </c>
      <c r="D595" s="20" t="s">
        <v>81</v>
      </c>
      <c r="E595" s="20" t="s">
        <v>425</v>
      </c>
      <c r="F595" s="20" t="s">
        <v>4</v>
      </c>
      <c r="G595" s="40">
        <f t="shared" si="283"/>
        <v>6</v>
      </c>
      <c r="H595" s="40">
        <f t="shared" si="284"/>
        <v>6</v>
      </c>
      <c r="I595" s="40">
        <f t="shared" si="284"/>
        <v>6</v>
      </c>
      <c r="J595" s="1"/>
    </row>
    <row r="596" spans="1:10" ht="31.5" outlineLevel="7">
      <c r="A596" s="18" t="s">
        <v>42</v>
      </c>
      <c r="B596" s="19" t="s">
        <v>419</v>
      </c>
      <c r="C596" s="20" t="s">
        <v>106</v>
      </c>
      <c r="D596" s="20" t="s">
        <v>81</v>
      </c>
      <c r="E596" s="20" t="s">
        <v>425</v>
      </c>
      <c r="F596" s="20" t="s">
        <v>43</v>
      </c>
      <c r="G596" s="40">
        <v>6</v>
      </c>
      <c r="H596" s="40">
        <v>6</v>
      </c>
      <c r="I596" s="40">
        <v>6</v>
      </c>
      <c r="J596" s="1"/>
    </row>
    <row r="597" spans="1:10" ht="31.5" outlineLevel="1">
      <c r="A597" s="12" t="s">
        <v>426</v>
      </c>
      <c r="B597" s="13" t="s">
        <v>419</v>
      </c>
      <c r="C597" s="14" t="s">
        <v>427</v>
      </c>
      <c r="D597" s="14" t="s">
        <v>2</v>
      </c>
      <c r="E597" s="14" t="s">
        <v>3</v>
      </c>
      <c r="F597" s="14" t="s">
        <v>4</v>
      </c>
      <c r="G597" s="38">
        <f>G598+G634+G649+G669</f>
        <v>248150.57699999999</v>
      </c>
      <c r="H597" s="38">
        <f t="shared" ref="H597:I597" si="285">H598+H634+H649+H669</f>
        <v>223208.1</v>
      </c>
      <c r="I597" s="38">
        <f t="shared" si="285"/>
        <v>211043.1</v>
      </c>
      <c r="J597" s="1"/>
    </row>
    <row r="598" spans="1:10" ht="15.75" outlineLevel="2">
      <c r="A598" s="15" t="s">
        <v>428</v>
      </c>
      <c r="B598" s="16" t="s">
        <v>419</v>
      </c>
      <c r="C598" s="17" t="s">
        <v>427</v>
      </c>
      <c r="D598" s="17" t="s">
        <v>6</v>
      </c>
      <c r="E598" s="17" t="s">
        <v>3</v>
      </c>
      <c r="F598" s="17" t="s">
        <v>4</v>
      </c>
      <c r="G598" s="39">
        <f>G599+G629</f>
        <v>215746.23499999999</v>
      </c>
      <c r="H598" s="39">
        <f t="shared" ref="H598:I598" si="286">H599+H629</f>
        <v>170522.758</v>
      </c>
      <c r="I598" s="39">
        <f t="shared" si="286"/>
        <v>168813.976</v>
      </c>
      <c r="J598" s="1"/>
    </row>
    <row r="599" spans="1:10" ht="63" outlineLevel="3">
      <c r="A599" s="18" t="s">
        <v>420</v>
      </c>
      <c r="B599" s="19" t="s">
        <v>419</v>
      </c>
      <c r="C599" s="20" t="s">
        <v>427</v>
      </c>
      <c r="D599" s="20" t="s">
        <v>6</v>
      </c>
      <c r="E599" s="20" t="s">
        <v>421</v>
      </c>
      <c r="F599" s="20" t="s">
        <v>4</v>
      </c>
      <c r="G599" s="40">
        <f>G600+G604+G612</f>
        <v>215212.23499999999</v>
      </c>
      <c r="H599" s="40">
        <f t="shared" ref="H599:I599" si="287">H600+H604+H612</f>
        <v>170522.758</v>
      </c>
      <c r="I599" s="40">
        <f t="shared" si="287"/>
        <v>168813.976</v>
      </c>
      <c r="J599" s="1"/>
    </row>
    <row r="600" spans="1:10" ht="78.75" hidden="1" outlineLevel="4">
      <c r="A600" s="18" t="s">
        <v>200</v>
      </c>
      <c r="B600" s="19" t="s">
        <v>419</v>
      </c>
      <c r="C600" s="20" t="s">
        <v>427</v>
      </c>
      <c r="D600" s="20" t="s">
        <v>6</v>
      </c>
      <c r="E600" s="20" t="s">
        <v>429</v>
      </c>
      <c r="F600" s="20" t="s">
        <v>4</v>
      </c>
      <c r="G600" s="40">
        <f>G601</f>
        <v>0</v>
      </c>
      <c r="H600" s="40">
        <f t="shared" ref="H600:I602" si="288">H601</f>
        <v>0</v>
      </c>
      <c r="I600" s="40">
        <f t="shared" si="288"/>
        <v>0</v>
      </c>
      <c r="J600" s="1"/>
    </row>
    <row r="601" spans="1:10" ht="31.5" hidden="1" outlineLevel="5">
      <c r="A601" s="18" t="s">
        <v>430</v>
      </c>
      <c r="B601" s="19" t="s">
        <v>419</v>
      </c>
      <c r="C601" s="20" t="s">
        <v>427</v>
      </c>
      <c r="D601" s="20" t="s">
        <v>6</v>
      </c>
      <c r="E601" s="20" t="s">
        <v>431</v>
      </c>
      <c r="F601" s="20" t="s">
        <v>4</v>
      </c>
      <c r="G601" s="40">
        <f>G602</f>
        <v>0</v>
      </c>
      <c r="H601" s="40">
        <f t="shared" si="288"/>
        <v>0</v>
      </c>
      <c r="I601" s="40">
        <f t="shared" si="288"/>
        <v>0</v>
      </c>
      <c r="J601" s="1"/>
    </row>
    <row r="602" spans="1:10" ht="78.75" hidden="1" outlineLevel="6">
      <c r="A602" s="18" t="s">
        <v>432</v>
      </c>
      <c r="B602" s="19" t="s">
        <v>419</v>
      </c>
      <c r="C602" s="20" t="s">
        <v>427</v>
      </c>
      <c r="D602" s="20" t="s">
        <v>6</v>
      </c>
      <c r="E602" s="20" t="s">
        <v>433</v>
      </c>
      <c r="F602" s="20" t="s">
        <v>4</v>
      </c>
      <c r="G602" s="40">
        <f>G603</f>
        <v>0</v>
      </c>
      <c r="H602" s="40">
        <f t="shared" si="288"/>
        <v>0</v>
      </c>
      <c r="I602" s="40">
        <f t="shared" si="288"/>
        <v>0</v>
      </c>
      <c r="J602" s="1"/>
    </row>
    <row r="603" spans="1:10" ht="64.5" hidden="1" customHeight="1" outlineLevel="7">
      <c r="A603" s="18" t="s">
        <v>103</v>
      </c>
      <c r="B603" s="19" t="s">
        <v>419</v>
      </c>
      <c r="C603" s="20" t="s">
        <v>427</v>
      </c>
      <c r="D603" s="20" t="s">
        <v>6</v>
      </c>
      <c r="E603" s="20" t="s">
        <v>433</v>
      </c>
      <c r="F603" s="20" t="s">
        <v>104</v>
      </c>
      <c r="G603" s="40">
        <f>18981-18981</f>
        <v>0</v>
      </c>
      <c r="H603" s="40">
        <f>18981-18981</f>
        <v>0</v>
      </c>
      <c r="I603" s="40">
        <f>18981-18981</f>
        <v>0</v>
      </c>
      <c r="J603" s="1"/>
    </row>
    <row r="604" spans="1:10" ht="47.25" outlineLevel="4" collapsed="1">
      <c r="A604" s="18" t="s">
        <v>94</v>
      </c>
      <c r="B604" s="19" t="s">
        <v>419</v>
      </c>
      <c r="C604" s="20" t="s">
        <v>427</v>
      </c>
      <c r="D604" s="20" t="s">
        <v>6</v>
      </c>
      <c r="E604" s="20" t="s">
        <v>434</v>
      </c>
      <c r="F604" s="20" t="s">
        <v>4</v>
      </c>
      <c r="G604" s="40">
        <f>G605</f>
        <v>47716.6</v>
      </c>
      <c r="H604" s="40">
        <f t="shared" ref="H604:I604" si="289">H605</f>
        <v>47716.6</v>
      </c>
      <c r="I604" s="40">
        <f t="shared" si="289"/>
        <v>47716.6</v>
      </c>
      <c r="J604" s="1"/>
    </row>
    <row r="605" spans="1:10" ht="78.75" outlineLevel="5">
      <c r="A605" s="18" t="s">
        <v>435</v>
      </c>
      <c r="B605" s="19" t="s">
        <v>419</v>
      </c>
      <c r="C605" s="20" t="s">
        <v>427</v>
      </c>
      <c r="D605" s="20" t="s">
        <v>6</v>
      </c>
      <c r="E605" s="20" t="s">
        <v>436</v>
      </c>
      <c r="F605" s="20" t="s">
        <v>4</v>
      </c>
      <c r="G605" s="40">
        <f>G606+G610+G608</f>
        <v>47716.6</v>
      </c>
      <c r="H605" s="40">
        <f>H606+H610+H608</f>
        <v>47716.6</v>
      </c>
      <c r="I605" s="40">
        <f>I606+I610+I608</f>
        <v>47716.6</v>
      </c>
      <c r="J605" s="1"/>
    </row>
    <row r="606" spans="1:10" ht="94.5" outlineLevel="6">
      <c r="A606" s="18" t="s">
        <v>437</v>
      </c>
      <c r="B606" s="19" t="s">
        <v>419</v>
      </c>
      <c r="C606" s="20" t="s">
        <v>427</v>
      </c>
      <c r="D606" s="20" t="s">
        <v>6</v>
      </c>
      <c r="E606" s="20" t="s">
        <v>438</v>
      </c>
      <c r="F606" s="20" t="s">
        <v>4</v>
      </c>
      <c r="G606" s="40">
        <f>G607</f>
        <v>28735.599999999999</v>
      </c>
      <c r="H606" s="40">
        <f t="shared" ref="H606:I606" si="290">H607</f>
        <v>28735.599999999999</v>
      </c>
      <c r="I606" s="40">
        <f t="shared" si="290"/>
        <v>28735.599999999999</v>
      </c>
      <c r="J606" s="1"/>
    </row>
    <row r="607" spans="1:10" ht="66" customHeight="1" outlineLevel="7">
      <c r="A607" s="18" t="s">
        <v>103</v>
      </c>
      <c r="B607" s="19" t="s">
        <v>419</v>
      </c>
      <c r="C607" s="20" t="s">
        <v>427</v>
      </c>
      <c r="D607" s="20" t="s">
        <v>6</v>
      </c>
      <c r="E607" s="20" t="s">
        <v>438</v>
      </c>
      <c r="F607" s="20" t="s">
        <v>104</v>
      </c>
      <c r="G607" s="40">
        <f>25000+3735.6</f>
        <v>28735.599999999999</v>
      </c>
      <c r="H607" s="40">
        <f>25000+3735.6</f>
        <v>28735.599999999999</v>
      </c>
      <c r="I607" s="40">
        <f>25000+3735.6</f>
        <v>28735.599999999999</v>
      </c>
      <c r="J607" s="1"/>
    </row>
    <row r="608" spans="1:10" ht="66" customHeight="1" outlineLevel="7">
      <c r="A608" s="30" t="s">
        <v>663</v>
      </c>
      <c r="B608" s="22" t="s">
        <v>419</v>
      </c>
      <c r="C608" s="20" t="s">
        <v>427</v>
      </c>
      <c r="D608" s="20" t="s">
        <v>6</v>
      </c>
      <c r="E608" s="20" t="s">
        <v>664</v>
      </c>
      <c r="F608" s="20" t="s">
        <v>4</v>
      </c>
      <c r="G608" s="40">
        <f>G609</f>
        <v>18981</v>
      </c>
      <c r="H608" s="40">
        <f>H609</f>
        <v>18981</v>
      </c>
      <c r="I608" s="40">
        <f>I609</f>
        <v>18981</v>
      </c>
      <c r="J608" s="1"/>
    </row>
    <row r="609" spans="1:10" ht="66" customHeight="1" outlineLevel="7">
      <c r="A609" s="18" t="s">
        <v>103</v>
      </c>
      <c r="B609" s="19" t="s">
        <v>419</v>
      </c>
      <c r="C609" s="20" t="s">
        <v>427</v>
      </c>
      <c r="D609" s="20" t="s">
        <v>6</v>
      </c>
      <c r="E609" s="20" t="s">
        <v>664</v>
      </c>
      <c r="F609" s="20" t="s">
        <v>104</v>
      </c>
      <c r="G609" s="40">
        <v>18981</v>
      </c>
      <c r="H609" s="40">
        <v>18981</v>
      </c>
      <c r="I609" s="40">
        <v>18981</v>
      </c>
      <c r="J609" s="1"/>
    </row>
    <row r="610" spans="1:10" ht="94.5" hidden="1" outlineLevel="6">
      <c r="A610" s="18" t="s">
        <v>437</v>
      </c>
      <c r="B610" s="19" t="s">
        <v>419</v>
      </c>
      <c r="C610" s="20" t="s">
        <v>427</v>
      </c>
      <c r="D610" s="20" t="s">
        <v>6</v>
      </c>
      <c r="E610" s="20" t="s">
        <v>439</v>
      </c>
      <c r="F610" s="20" t="s">
        <v>4</v>
      </c>
      <c r="G610" s="40">
        <f>G611</f>
        <v>0</v>
      </c>
      <c r="H610" s="40">
        <f t="shared" ref="H610:I610" si="291">H611</f>
        <v>0</v>
      </c>
      <c r="I610" s="40">
        <f t="shared" si="291"/>
        <v>0</v>
      </c>
      <c r="J610" s="1"/>
    </row>
    <row r="611" spans="1:10" ht="51.6" hidden="1" customHeight="1" outlineLevel="7">
      <c r="A611" s="18" t="s">
        <v>103</v>
      </c>
      <c r="B611" s="19" t="s">
        <v>419</v>
      </c>
      <c r="C611" s="20" t="s">
        <v>427</v>
      </c>
      <c r="D611" s="20" t="s">
        <v>6</v>
      </c>
      <c r="E611" s="20" t="s">
        <v>439</v>
      </c>
      <c r="F611" s="20" t="s">
        <v>104</v>
      </c>
      <c r="G611" s="40">
        <f>3735.6-3735.6</f>
        <v>0</v>
      </c>
      <c r="H611" s="40">
        <f>3735.6-3735.6</f>
        <v>0</v>
      </c>
      <c r="I611" s="40">
        <f>3735.6-3735.6</f>
        <v>0</v>
      </c>
      <c r="J611" s="1"/>
    </row>
    <row r="612" spans="1:10" ht="31.5" outlineLevel="4" collapsed="1">
      <c r="A612" s="18" t="s">
        <v>11</v>
      </c>
      <c r="B612" s="19" t="s">
        <v>419</v>
      </c>
      <c r="C612" s="20" t="s">
        <v>427</v>
      </c>
      <c r="D612" s="20" t="s">
        <v>6</v>
      </c>
      <c r="E612" s="20" t="s">
        <v>422</v>
      </c>
      <c r="F612" s="20" t="s">
        <v>4</v>
      </c>
      <c r="G612" s="40">
        <f>G613+G616+G626+G623</f>
        <v>167495.63499999998</v>
      </c>
      <c r="H612" s="40">
        <f t="shared" ref="H612:I612" si="292">H613+H616+H626</f>
        <v>122806.158</v>
      </c>
      <c r="I612" s="40">
        <f t="shared" si="292"/>
        <v>121097.376</v>
      </c>
      <c r="J612" s="1"/>
    </row>
    <row r="613" spans="1:10" ht="63" outlineLevel="5">
      <c r="A613" s="18" t="s">
        <v>440</v>
      </c>
      <c r="B613" s="19" t="s">
        <v>419</v>
      </c>
      <c r="C613" s="20" t="s">
        <v>427</v>
      </c>
      <c r="D613" s="20" t="s">
        <v>6</v>
      </c>
      <c r="E613" s="20" t="s">
        <v>441</v>
      </c>
      <c r="F613" s="20" t="s">
        <v>4</v>
      </c>
      <c r="G613" s="40">
        <f>G614</f>
        <v>80277.59599999999</v>
      </c>
      <c r="H613" s="40">
        <f t="shared" ref="H613:I614" si="293">H614</f>
        <v>80475.758000000002</v>
      </c>
      <c r="I613" s="40">
        <f t="shared" si="293"/>
        <v>78537.376000000004</v>
      </c>
      <c r="J613" s="1"/>
    </row>
    <row r="614" spans="1:10" ht="49.15" customHeight="1" outlineLevel="6">
      <c r="A614" s="18" t="s">
        <v>442</v>
      </c>
      <c r="B614" s="19" t="s">
        <v>419</v>
      </c>
      <c r="C614" s="20" t="s">
        <v>427</v>
      </c>
      <c r="D614" s="20" t="s">
        <v>6</v>
      </c>
      <c r="E614" s="20" t="s">
        <v>443</v>
      </c>
      <c r="F614" s="20" t="s">
        <v>4</v>
      </c>
      <c r="G614" s="40">
        <f>G615</f>
        <v>80277.59599999999</v>
      </c>
      <c r="H614" s="40">
        <f t="shared" si="293"/>
        <v>80475.758000000002</v>
      </c>
      <c r="I614" s="40">
        <f t="shared" si="293"/>
        <v>78537.376000000004</v>
      </c>
      <c r="J614" s="1"/>
    </row>
    <row r="615" spans="1:10" ht="48" customHeight="1" outlineLevel="7">
      <c r="A615" s="18" t="s">
        <v>103</v>
      </c>
      <c r="B615" s="19" t="s">
        <v>419</v>
      </c>
      <c r="C615" s="20" t="s">
        <v>427</v>
      </c>
      <c r="D615" s="20" t="s">
        <v>6</v>
      </c>
      <c r="E615" s="20" t="s">
        <v>443</v>
      </c>
      <c r="F615" s="20" t="s">
        <v>104</v>
      </c>
      <c r="G615" s="40">
        <f>71279.9+932.7+0.458+3105.677+2658.5-5000-224.3-1697+8334.6-6002.339-3+5732.4+1160</f>
        <v>80277.59599999999</v>
      </c>
      <c r="H615" s="40">
        <f>80475.3+0.458</f>
        <v>80475.758000000002</v>
      </c>
      <c r="I615" s="40">
        <f>78536.8+0.576</f>
        <v>78537.376000000004</v>
      </c>
      <c r="J615" s="1"/>
    </row>
    <row r="616" spans="1:10" ht="126" outlineLevel="5">
      <c r="A616" s="18" t="s">
        <v>444</v>
      </c>
      <c r="B616" s="19" t="s">
        <v>419</v>
      </c>
      <c r="C616" s="20" t="s">
        <v>427</v>
      </c>
      <c r="D616" s="20" t="s">
        <v>6</v>
      </c>
      <c r="E616" s="20" t="s">
        <v>445</v>
      </c>
      <c r="F616" s="20" t="s">
        <v>4</v>
      </c>
      <c r="G616" s="40">
        <f>G617+G619+G621</f>
        <v>710</v>
      </c>
      <c r="H616" s="40">
        <f t="shared" ref="H616:I616" si="294">H617+H619+H621</f>
        <v>560</v>
      </c>
      <c r="I616" s="40">
        <f t="shared" si="294"/>
        <v>560</v>
      </c>
      <c r="J616" s="1"/>
    </row>
    <row r="617" spans="1:10" ht="47.25" outlineLevel="6">
      <c r="A617" s="18" t="s">
        <v>378</v>
      </c>
      <c r="B617" s="19" t="s">
        <v>419</v>
      </c>
      <c r="C617" s="20" t="s">
        <v>427</v>
      </c>
      <c r="D617" s="20" t="s">
        <v>6</v>
      </c>
      <c r="E617" s="20" t="s">
        <v>446</v>
      </c>
      <c r="F617" s="20" t="s">
        <v>4</v>
      </c>
      <c r="G617" s="40">
        <f>G618</f>
        <v>20</v>
      </c>
      <c r="H617" s="40">
        <f t="shared" ref="H617:I617" si="295">H618</f>
        <v>20</v>
      </c>
      <c r="I617" s="40">
        <f t="shared" si="295"/>
        <v>20</v>
      </c>
      <c r="J617" s="1"/>
    </row>
    <row r="618" spans="1:10" ht="50.45" customHeight="1" outlineLevel="7">
      <c r="A618" s="18" t="s">
        <v>103</v>
      </c>
      <c r="B618" s="19" t="s">
        <v>419</v>
      </c>
      <c r="C618" s="20" t="s">
        <v>427</v>
      </c>
      <c r="D618" s="20" t="s">
        <v>6</v>
      </c>
      <c r="E618" s="20" t="s">
        <v>446</v>
      </c>
      <c r="F618" s="20" t="s">
        <v>104</v>
      </c>
      <c r="G618" s="40">
        <v>20</v>
      </c>
      <c r="H618" s="40">
        <v>20</v>
      </c>
      <c r="I618" s="40">
        <v>20</v>
      </c>
      <c r="J618" s="1"/>
    </row>
    <row r="619" spans="1:10" ht="63" outlineLevel="6">
      <c r="A619" s="18" t="s">
        <v>447</v>
      </c>
      <c r="B619" s="19" t="s">
        <v>419</v>
      </c>
      <c r="C619" s="20" t="s">
        <v>427</v>
      </c>
      <c r="D619" s="20" t="s">
        <v>6</v>
      </c>
      <c r="E619" s="20" t="s">
        <v>448</v>
      </c>
      <c r="F619" s="20" t="s">
        <v>4</v>
      </c>
      <c r="G619" s="40">
        <f>G620</f>
        <v>40</v>
      </c>
      <c r="H619" s="40">
        <f t="shared" ref="H619:I619" si="296">H620</f>
        <v>40</v>
      </c>
      <c r="I619" s="40">
        <f t="shared" si="296"/>
        <v>40</v>
      </c>
      <c r="J619" s="1"/>
    </row>
    <row r="620" spans="1:10" ht="48" customHeight="1" outlineLevel="7">
      <c r="A620" s="18" t="s">
        <v>103</v>
      </c>
      <c r="B620" s="19" t="s">
        <v>419</v>
      </c>
      <c r="C620" s="20" t="s">
        <v>427</v>
      </c>
      <c r="D620" s="20" t="s">
        <v>6</v>
      </c>
      <c r="E620" s="20" t="s">
        <v>448</v>
      </c>
      <c r="F620" s="20" t="s">
        <v>104</v>
      </c>
      <c r="G620" s="40">
        <v>40</v>
      </c>
      <c r="H620" s="40">
        <v>40</v>
      </c>
      <c r="I620" s="40">
        <v>40</v>
      </c>
      <c r="J620" s="1"/>
    </row>
    <row r="621" spans="1:10" ht="63" outlineLevel="6">
      <c r="A621" s="18" t="s">
        <v>449</v>
      </c>
      <c r="B621" s="19" t="s">
        <v>419</v>
      </c>
      <c r="C621" s="20" t="s">
        <v>427</v>
      </c>
      <c r="D621" s="20" t="s">
        <v>6</v>
      </c>
      <c r="E621" s="20" t="s">
        <v>450</v>
      </c>
      <c r="F621" s="20" t="s">
        <v>4</v>
      </c>
      <c r="G621" s="40">
        <f>G622</f>
        <v>650</v>
      </c>
      <c r="H621" s="40">
        <f t="shared" ref="H621:I621" si="297">H622</f>
        <v>500</v>
      </c>
      <c r="I621" s="40">
        <f t="shared" si="297"/>
        <v>500</v>
      </c>
      <c r="J621" s="1"/>
    </row>
    <row r="622" spans="1:10" ht="52.9" customHeight="1" outlineLevel="7">
      <c r="A622" s="18" t="s">
        <v>103</v>
      </c>
      <c r="B622" s="19" t="s">
        <v>419</v>
      </c>
      <c r="C622" s="20" t="s">
        <v>427</v>
      </c>
      <c r="D622" s="20" t="s">
        <v>6</v>
      </c>
      <c r="E622" s="20" t="s">
        <v>450</v>
      </c>
      <c r="F622" s="20" t="s">
        <v>104</v>
      </c>
      <c r="G622" s="40">
        <f>500+150-208+208</f>
        <v>650</v>
      </c>
      <c r="H622" s="40">
        <v>500</v>
      </c>
      <c r="I622" s="40">
        <v>500</v>
      </c>
      <c r="J622" s="1"/>
    </row>
    <row r="623" spans="1:10" ht="63" customHeight="1" outlineLevel="7">
      <c r="A623" s="25" t="s">
        <v>763</v>
      </c>
      <c r="B623" s="19" t="s">
        <v>419</v>
      </c>
      <c r="C623" s="19" t="s">
        <v>427</v>
      </c>
      <c r="D623" s="19" t="s">
        <v>6</v>
      </c>
      <c r="E623" s="19" t="s">
        <v>766</v>
      </c>
      <c r="F623" s="19" t="s">
        <v>4</v>
      </c>
      <c r="G623" s="40">
        <f>G624</f>
        <v>1400</v>
      </c>
      <c r="H623" s="40">
        <f t="shared" ref="H623:I624" si="298">H624</f>
        <v>0</v>
      </c>
      <c r="I623" s="40">
        <f t="shared" si="298"/>
        <v>0</v>
      </c>
      <c r="J623" s="1"/>
    </row>
    <row r="624" spans="1:10" ht="46.5" customHeight="1" outlineLevel="7">
      <c r="A624" s="25" t="s">
        <v>764</v>
      </c>
      <c r="B624" s="19" t="s">
        <v>419</v>
      </c>
      <c r="C624" s="19" t="s">
        <v>427</v>
      </c>
      <c r="D624" s="19" t="s">
        <v>6</v>
      </c>
      <c r="E624" s="19" t="s">
        <v>767</v>
      </c>
      <c r="F624" s="19" t="s">
        <v>4</v>
      </c>
      <c r="G624" s="40">
        <f>G625</f>
        <v>1400</v>
      </c>
      <c r="H624" s="40">
        <f t="shared" si="298"/>
        <v>0</v>
      </c>
      <c r="I624" s="40">
        <f t="shared" si="298"/>
        <v>0</v>
      </c>
      <c r="J624" s="1"/>
    </row>
    <row r="625" spans="1:10" ht="60" customHeight="1" outlineLevel="7">
      <c r="A625" s="25" t="s">
        <v>765</v>
      </c>
      <c r="B625" s="19" t="s">
        <v>419</v>
      </c>
      <c r="C625" s="19" t="s">
        <v>427</v>
      </c>
      <c r="D625" s="19" t="s">
        <v>6</v>
      </c>
      <c r="E625" s="19" t="s">
        <v>767</v>
      </c>
      <c r="F625" s="19" t="s">
        <v>188</v>
      </c>
      <c r="G625" s="40">
        <f>270+1130</f>
        <v>1400</v>
      </c>
      <c r="H625" s="40">
        <v>0</v>
      </c>
      <c r="I625" s="40">
        <v>0</v>
      </c>
      <c r="J625" s="1"/>
    </row>
    <row r="626" spans="1:10" ht="63" outlineLevel="5">
      <c r="A626" s="18" t="s">
        <v>451</v>
      </c>
      <c r="B626" s="19" t="s">
        <v>419</v>
      </c>
      <c r="C626" s="20" t="s">
        <v>427</v>
      </c>
      <c r="D626" s="20" t="s">
        <v>6</v>
      </c>
      <c r="E626" s="20" t="s">
        <v>452</v>
      </c>
      <c r="F626" s="20" t="s">
        <v>4</v>
      </c>
      <c r="G626" s="40">
        <f>G627</f>
        <v>85108.03899999999</v>
      </c>
      <c r="H626" s="40">
        <f t="shared" ref="H626:I627" si="299">H627</f>
        <v>41770.400000000001</v>
      </c>
      <c r="I626" s="40">
        <f t="shared" si="299"/>
        <v>42000</v>
      </c>
      <c r="J626" s="1"/>
    </row>
    <row r="627" spans="1:10" ht="78.75" outlineLevel="6">
      <c r="A627" s="18" t="s">
        <v>453</v>
      </c>
      <c r="B627" s="19" t="s">
        <v>419</v>
      </c>
      <c r="C627" s="20" t="s">
        <v>427</v>
      </c>
      <c r="D627" s="20" t="s">
        <v>6</v>
      </c>
      <c r="E627" s="20" t="s">
        <v>454</v>
      </c>
      <c r="F627" s="20" t="s">
        <v>4</v>
      </c>
      <c r="G627" s="40">
        <f>G628</f>
        <v>85108.03899999999</v>
      </c>
      <c r="H627" s="40">
        <f t="shared" si="299"/>
        <v>41770.400000000001</v>
      </c>
      <c r="I627" s="40">
        <f t="shared" si="299"/>
        <v>42000</v>
      </c>
      <c r="J627" s="1"/>
    </row>
    <row r="628" spans="1:10" ht="62.25" customHeight="1" outlineLevel="7">
      <c r="A628" s="18" t="s">
        <v>103</v>
      </c>
      <c r="B628" s="19" t="s">
        <v>419</v>
      </c>
      <c r="C628" s="20" t="s">
        <v>427</v>
      </c>
      <c r="D628" s="20" t="s">
        <v>6</v>
      </c>
      <c r="E628" s="20" t="s">
        <v>454</v>
      </c>
      <c r="F628" s="20" t="s">
        <v>104</v>
      </c>
      <c r="G628" s="40">
        <f>52000+5000+1697+1178.7+5732.339+19500</f>
        <v>85108.03899999999</v>
      </c>
      <c r="H628" s="40">
        <f>42000-229.6</f>
        <v>41770.400000000001</v>
      </c>
      <c r="I628" s="40">
        <v>42000</v>
      </c>
      <c r="J628" s="1"/>
    </row>
    <row r="629" spans="1:10" ht="64.5" customHeight="1" outlineLevel="3">
      <c r="A629" s="18" t="s">
        <v>50</v>
      </c>
      <c r="B629" s="19" t="s">
        <v>419</v>
      </c>
      <c r="C629" s="20" t="s">
        <v>427</v>
      </c>
      <c r="D629" s="20" t="s">
        <v>6</v>
      </c>
      <c r="E629" s="20" t="s">
        <v>51</v>
      </c>
      <c r="F629" s="20" t="s">
        <v>4</v>
      </c>
      <c r="G629" s="40">
        <f>G630</f>
        <v>534</v>
      </c>
      <c r="H629" s="40">
        <f t="shared" ref="H629:I632" si="300">H630</f>
        <v>0</v>
      </c>
      <c r="I629" s="40">
        <f t="shared" si="300"/>
        <v>0</v>
      </c>
      <c r="J629" s="1"/>
    </row>
    <row r="630" spans="1:10" ht="31.5" outlineLevel="4">
      <c r="A630" s="18" t="s">
        <v>11</v>
      </c>
      <c r="B630" s="19" t="s">
        <v>419</v>
      </c>
      <c r="C630" s="20" t="s">
        <v>427</v>
      </c>
      <c r="D630" s="20" t="s">
        <v>6</v>
      </c>
      <c r="E630" s="20" t="s">
        <v>52</v>
      </c>
      <c r="F630" s="20" t="s">
        <v>4</v>
      </c>
      <c r="G630" s="40">
        <f>G631</f>
        <v>534</v>
      </c>
      <c r="H630" s="40">
        <f t="shared" si="300"/>
        <v>0</v>
      </c>
      <c r="I630" s="40">
        <f t="shared" si="300"/>
        <v>0</v>
      </c>
      <c r="J630" s="1"/>
    </row>
    <row r="631" spans="1:10" ht="78.75" outlineLevel="5">
      <c r="A631" s="18" t="s">
        <v>53</v>
      </c>
      <c r="B631" s="19" t="s">
        <v>419</v>
      </c>
      <c r="C631" s="20" t="s">
        <v>427</v>
      </c>
      <c r="D631" s="20" t="s">
        <v>6</v>
      </c>
      <c r="E631" s="20" t="s">
        <v>54</v>
      </c>
      <c r="F631" s="20" t="s">
        <v>4</v>
      </c>
      <c r="G631" s="40">
        <f>G632</f>
        <v>534</v>
      </c>
      <c r="H631" s="40">
        <f t="shared" si="300"/>
        <v>0</v>
      </c>
      <c r="I631" s="40">
        <f t="shared" si="300"/>
        <v>0</v>
      </c>
      <c r="J631" s="1"/>
    </row>
    <row r="632" spans="1:10" ht="65.25" customHeight="1" outlineLevel="6">
      <c r="A632" s="18" t="s">
        <v>55</v>
      </c>
      <c r="B632" s="19" t="s">
        <v>419</v>
      </c>
      <c r="C632" s="20" t="s">
        <v>427</v>
      </c>
      <c r="D632" s="20" t="s">
        <v>6</v>
      </c>
      <c r="E632" s="20" t="s">
        <v>56</v>
      </c>
      <c r="F632" s="20" t="s">
        <v>4</v>
      </c>
      <c r="G632" s="40">
        <f>G633</f>
        <v>534</v>
      </c>
      <c r="H632" s="40">
        <f t="shared" si="300"/>
        <v>0</v>
      </c>
      <c r="I632" s="40">
        <f t="shared" si="300"/>
        <v>0</v>
      </c>
      <c r="J632" s="1"/>
    </row>
    <row r="633" spans="1:10" ht="63.75" customHeight="1" outlineLevel="7">
      <c r="A633" s="18" t="s">
        <v>103</v>
      </c>
      <c r="B633" s="19" t="s">
        <v>419</v>
      </c>
      <c r="C633" s="20" t="s">
        <v>427</v>
      </c>
      <c r="D633" s="20" t="s">
        <v>6</v>
      </c>
      <c r="E633" s="20" t="s">
        <v>56</v>
      </c>
      <c r="F633" s="20" t="s">
        <v>104</v>
      </c>
      <c r="G633" s="40">
        <v>534</v>
      </c>
      <c r="H633" s="40">
        <v>0</v>
      </c>
      <c r="I633" s="40">
        <v>0</v>
      </c>
      <c r="J633" s="1"/>
    </row>
    <row r="634" spans="1:10" ht="15.75" outlineLevel="2">
      <c r="A634" s="15" t="s">
        <v>455</v>
      </c>
      <c r="B634" s="16" t="s">
        <v>419</v>
      </c>
      <c r="C634" s="17" t="s">
        <v>427</v>
      </c>
      <c r="D634" s="17" t="s">
        <v>8</v>
      </c>
      <c r="E634" s="17" t="s">
        <v>3</v>
      </c>
      <c r="F634" s="17" t="s">
        <v>4</v>
      </c>
      <c r="G634" s="39">
        <f>G635</f>
        <v>6012.4000000000005</v>
      </c>
      <c r="H634" s="39">
        <f t="shared" ref="H634:I647" si="301">H635</f>
        <v>23956.899999999998</v>
      </c>
      <c r="I634" s="39">
        <f t="shared" si="301"/>
        <v>1000</v>
      </c>
      <c r="J634" s="1"/>
    </row>
    <row r="635" spans="1:10" ht="63" outlineLevel="3">
      <c r="A635" s="18" t="s">
        <v>420</v>
      </c>
      <c r="B635" s="19" t="s">
        <v>419</v>
      </c>
      <c r="C635" s="20" t="s">
        <v>427</v>
      </c>
      <c r="D635" s="20" t="s">
        <v>8</v>
      </c>
      <c r="E635" s="20" t="s">
        <v>421</v>
      </c>
      <c r="F635" s="20" t="s">
        <v>4</v>
      </c>
      <c r="G635" s="40">
        <f>G645+G636</f>
        <v>6012.4000000000005</v>
      </c>
      <c r="H635" s="40">
        <f>H645+H636</f>
        <v>23956.899999999998</v>
      </c>
      <c r="I635" s="40">
        <f>I645</f>
        <v>1000</v>
      </c>
      <c r="J635" s="1"/>
    </row>
    <row r="636" spans="1:10" ht="47.25" outlineLevel="3">
      <c r="A636" s="25" t="s">
        <v>738</v>
      </c>
      <c r="B636" s="19" t="s">
        <v>419</v>
      </c>
      <c r="C636" s="20" t="s">
        <v>427</v>
      </c>
      <c r="D636" s="20" t="s">
        <v>8</v>
      </c>
      <c r="E636" s="19" t="s">
        <v>735</v>
      </c>
      <c r="F636" s="19" t="s">
        <v>4</v>
      </c>
      <c r="G636" s="40">
        <f>G637+G640</f>
        <v>5012.4000000000005</v>
      </c>
      <c r="H636" s="40">
        <f t="shared" ref="H636:I638" si="302">H637</f>
        <v>22956.899999999998</v>
      </c>
      <c r="I636" s="40">
        <f t="shared" si="302"/>
        <v>0</v>
      </c>
      <c r="J636" s="1"/>
    </row>
    <row r="637" spans="1:10" ht="41.25" customHeight="1" outlineLevel="3">
      <c r="A637" s="25" t="s">
        <v>739</v>
      </c>
      <c r="B637" s="19" t="s">
        <v>419</v>
      </c>
      <c r="C637" s="20" t="s">
        <v>427</v>
      </c>
      <c r="D637" s="20" t="s">
        <v>8</v>
      </c>
      <c r="E637" s="19" t="s">
        <v>736</v>
      </c>
      <c r="F637" s="19" t="s">
        <v>4</v>
      </c>
      <c r="G637" s="40">
        <f>G638</f>
        <v>0</v>
      </c>
      <c r="H637" s="40">
        <f t="shared" si="302"/>
        <v>22956.899999999998</v>
      </c>
      <c r="I637" s="40">
        <f t="shared" si="302"/>
        <v>0</v>
      </c>
      <c r="J637" s="1"/>
    </row>
    <row r="638" spans="1:10" ht="63" outlineLevel="3">
      <c r="A638" s="25" t="s">
        <v>740</v>
      </c>
      <c r="B638" s="19" t="s">
        <v>419</v>
      </c>
      <c r="C638" s="20" t="s">
        <v>427</v>
      </c>
      <c r="D638" s="20" t="s">
        <v>8</v>
      </c>
      <c r="E638" s="19" t="s">
        <v>737</v>
      </c>
      <c r="F638" s="19" t="s">
        <v>4</v>
      </c>
      <c r="G638" s="40">
        <f>G639</f>
        <v>0</v>
      </c>
      <c r="H638" s="40">
        <f t="shared" si="302"/>
        <v>22956.899999999998</v>
      </c>
      <c r="I638" s="40">
        <f t="shared" si="302"/>
        <v>0</v>
      </c>
      <c r="J638" s="1"/>
    </row>
    <row r="639" spans="1:10" ht="64.5" customHeight="1" outlineLevel="3">
      <c r="A639" s="18" t="s">
        <v>103</v>
      </c>
      <c r="B639" s="19" t="s">
        <v>419</v>
      </c>
      <c r="C639" s="20" t="s">
        <v>427</v>
      </c>
      <c r="D639" s="20" t="s">
        <v>8</v>
      </c>
      <c r="E639" s="19" t="s">
        <v>737</v>
      </c>
      <c r="F639" s="19" t="s">
        <v>104</v>
      </c>
      <c r="G639" s="40">
        <v>0</v>
      </c>
      <c r="H639" s="40">
        <f>22727.3+229.6</f>
        <v>22956.899999999998</v>
      </c>
      <c r="I639" s="40">
        <v>0</v>
      </c>
      <c r="J639" s="1"/>
    </row>
    <row r="640" spans="1:10" ht="63.75" customHeight="1" outlineLevel="3">
      <c r="A640" s="25" t="s">
        <v>749</v>
      </c>
      <c r="B640" s="19" t="s">
        <v>419</v>
      </c>
      <c r="C640" s="20" t="s">
        <v>427</v>
      </c>
      <c r="D640" s="20" t="s">
        <v>8</v>
      </c>
      <c r="E640" s="19" t="s">
        <v>747</v>
      </c>
      <c r="F640" s="19" t="s">
        <v>4</v>
      </c>
      <c r="G640" s="40">
        <f>G641+G643</f>
        <v>5012.4000000000005</v>
      </c>
      <c r="H640" s="40">
        <f t="shared" ref="H640:I640" si="303">H641+H643</f>
        <v>0</v>
      </c>
      <c r="I640" s="40">
        <f t="shared" si="303"/>
        <v>0</v>
      </c>
      <c r="J640" s="1"/>
    </row>
    <row r="641" spans="1:10" ht="37.5" customHeight="1" outlineLevel="3">
      <c r="A641" s="25" t="s">
        <v>750</v>
      </c>
      <c r="B641" s="19" t="s">
        <v>419</v>
      </c>
      <c r="C641" s="20" t="s">
        <v>427</v>
      </c>
      <c r="D641" s="20" t="s">
        <v>8</v>
      </c>
      <c r="E641" s="19" t="s">
        <v>748</v>
      </c>
      <c r="F641" s="19" t="s">
        <v>4</v>
      </c>
      <c r="G641" s="40">
        <f>G642</f>
        <v>5012.4000000000005</v>
      </c>
      <c r="H641" s="40">
        <f t="shared" ref="H641:I643" si="304">H642</f>
        <v>0</v>
      </c>
      <c r="I641" s="40">
        <f t="shared" si="304"/>
        <v>0</v>
      </c>
      <c r="J641" s="1"/>
    </row>
    <row r="642" spans="1:10" ht="68.25" customHeight="1" outlineLevel="3">
      <c r="A642" s="18" t="s">
        <v>103</v>
      </c>
      <c r="B642" s="19" t="s">
        <v>419</v>
      </c>
      <c r="C642" s="20" t="s">
        <v>427</v>
      </c>
      <c r="D642" s="20" t="s">
        <v>8</v>
      </c>
      <c r="E642" s="19" t="s">
        <v>748</v>
      </c>
      <c r="F642" s="19" t="s">
        <v>104</v>
      </c>
      <c r="G642" s="40">
        <f>4261.8+224.3+500+26.3</f>
        <v>5012.4000000000005</v>
      </c>
      <c r="H642" s="40">
        <v>0</v>
      </c>
      <c r="I642" s="40">
        <v>0</v>
      </c>
      <c r="J642" s="1"/>
    </row>
    <row r="643" spans="1:10" ht="39.6" hidden="1" customHeight="1" outlineLevel="3">
      <c r="A643" s="25" t="s">
        <v>750</v>
      </c>
      <c r="B643" s="19" t="s">
        <v>419</v>
      </c>
      <c r="C643" s="20" t="s">
        <v>427</v>
      </c>
      <c r="D643" s="20" t="s">
        <v>8</v>
      </c>
      <c r="E643" s="19" t="s">
        <v>768</v>
      </c>
      <c r="F643" s="19" t="s">
        <v>4</v>
      </c>
      <c r="G643" s="40">
        <f>G644</f>
        <v>0</v>
      </c>
      <c r="H643" s="40">
        <f t="shared" si="304"/>
        <v>0</v>
      </c>
      <c r="I643" s="40">
        <f t="shared" si="304"/>
        <v>0</v>
      </c>
      <c r="J643" s="1"/>
    </row>
    <row r="644" spans="1:10" ht="93" hidden="1" customHeight="1" outlineLevel="3">
      <c r="A644" s="18" t="s">
        <v>103</v>
      </c>
      <c r="B644" s="19" t="s">
        <v>419</v>
      </c>
      <c r="C644" s="20" t="s">
        <v>427</v>
      </c>
      <c r="D644" s="20" t="s">
        <v>8</v>
      </c>
      <c r="E644" s="19" t="s">
        <v>768</v>
      </c>
      <c r="F644" s="19" t="s">
        <v>104</v>
      </c>
      <c r="G644" s="40">
        <f>224.3-224.3</f>
        <v>0</v>
      </c>
      <c r="H644" s="40">
        <v>0</v>
      </c>
      <c r="I644" s="40">
        <v>0</v>
      </c>
      <c r="J644" s="1"/>
    </row>
    <row r="645" spans="1:10" ht="31.5" outlineLevel="4">
      <c r="A645" s="18" t="s">
        <v>11</v>
      </c>
      <c r="B645" s="19" t="s">
        <v>419</v>
      </c>
      <c r="C645" s="20" t="s">
        <v>427</v>
      </c>
      <c r="D645" s="20" t="s">
        <v>8</v>
      </c>
      <c r="E645" s="20" t="s">
        <v>422</v>
      </c>
      <c r="F645" s="20" t="s">
        <v>4</v>
      </c>
      <c r="G645" s="40">
        <f>G646</f>
        <v>1000</v>
      </c>
      <c r="H645" s="40">
        <f t="shared" si="301"/>
        <v>1000</v>
      </c>
      <c r="I645" s="40">
        <f t="shared" si="301"/>
        <v>1000</v>
      </c>
      <c r="J645" s="1"/>
    </row>
    <row r="646" spans="1:10" ht="126" outlineLevel="5">
      <c r="A646" s="18" t="s">
        <v>444</v>
      </c>
      <c r="B646" s="19" t="s">
        <v>419</v>
      </c>
      <c r="C646" s="20" t="s">
        <v>427</v>
      </c>
      <c r="D646" s="20" t="s">
        <v>8</v>
      </c>
      <c r="E646" s="20" t="s">
        <v>445</v>
      </c>
      <c r="F646" s="20" t="s">
        <v>4</v>
      </c>
      <c r="G646" s="40">
        <f>G647</f>
        <v>1000</v>
      </c>
      <c r="H646" s="40">
        <f t="shared" si="301"/>
        <v>1000</v>
      </c>
      <c r="I646" s="40">
        <f t="shared" si="301"/>
        <v>1000</v>
      </c>
      <c r="J646" s="1"/>
    </row>
    <row r="647" spans="1:10" ht="63" outlineLevel="6">
      <c r="A647" s="18" t="s">
        <v>449</v>
      </c>
      <c r="B647" s="19" t="s">
        <v>419</v>
      </c>
      <c r="C647" s="20" t="s">
        <v>427</v>
      </c>
      <c r="D647" s="20" t="s">
        <v>8</v>
      </c>
      <c r="E647" s="20" t="s">
        <v>450</v>
      </c>
      <c r="F647" s="20" t="s">
        <v>4</v>
      </c>
      <c r="G647" s="40">
        <f>G648</f>
        <v>1000</v>
      </c>
      <c r="H647" s="40">
        <f t="shared" si="301"/>
        <v>1000</v>
      </c>
      <c r="I647" s="40">
        <f t="shared" si="301"/>
        <v>1000</v>
      </c>
      <c r="J647" s="1"/>
    </row>
    <row r="648" spans="1:10" ht="63.75" customHeight="1" outlineLevel="7">
      <c r="A648" s="18" t="s">
        <v>103</v>
      </c>
      <c r="B648" s="19" t="s">
        <v>419</v>
      </c>
      <c r="C648" s="20" t="s">
        <v>427</v>
      </c>
      <c r="D648" s="20" t="s">
        <v>8</v>
      </c>
      <c r="E648" s="20" t="s">
        <v>450</v>
      </c>
      <c r="F648" s="20" t="s">
        <v>104</v>
      </c>
      <c r="G648" s="40">
        <f>1000-62+62</f>
        <v>1000</v>
      </c>
      <c r="H648" s="40">
        <v>1000</v>
      </c>
      <c r="I648" s="40">
        <v>1000</v>
      </c>
      <c r="J648" s="1"/>
    </row>
    <row r="649" spans="1:10" ht="15.75" outlineLevel="2">
      <c r="A649" s="15" t="s">
        <v>456</v>
      </c>
      <c r="B649" s="16" t="s">
        <v>419</v>
      </c>
      <c r="C649" s="17" t="s">
        <v>427</v>
      </c>
      <c r="D649" s="17" t="s">
        <v>81</v>
      </c>
      <c r="E649" s="17" t="s">
        <v>3</v>
      </c>
      <c r="F649" s="17" t="s">
        <v>4</v>
      </c>
      <c r="G649" s="39">
        <f>G650</f>
        <v>18984.342000000001</v>
      </c>
      <c r="H649" s="39">
        <f t="shared" ref="H649:I649" si="305">H650</f>
        <v>22834.342000000001</v>
      </c>
      <c r="I649" s="39">
        <f t="shared" si="305"/>
        <v>35335.023999999998</v>
      </c>
      <c r="J649" s="1"/>
    </row>
    <row r="650" spans="1:10" ht="63" outlineLevel="3">
      <c r="A650" s="18" t="s">
        <v>420</v>
      </c>
      <c r="B650" s="19" t="s">
        <v>419</v>
      </c>
      <c r="C650" s="20" t="s">
        <v>427</v>
      </c>
      <c r="D650" s="20" t="s">
        <v>81</v>
      </c>
      <c r="E650" s="20" t="s">
        <v>421</v>
      </c>
      <c r="F650" s="20" t="s">
        <v>4</v>
      </c>
      <c r="G650" s="40">
        <f>G651+G659</f>
        <v>18984.342000000001</v>
      </c>
      <c r="H650" s="40">
        <f t="shared" ref="H650:I650" si="306">H651+H659</f>
        <v>22834.342000000001</v>
      </c>
      <c r="I650" s="40">
        <f t="shared" si="306"/>
        <v>35335.023999999998</v>
      </c>
      <c r="J650" s="1"/>
    </row>
    <row r="651" spans="1:10" ht="78.75" outlineLevel="4">
      <c r="A651" s="18" t="s">
        <v>200</v>
      </c>
      <c r="B651" s="19" t="s">
        <v>419</v>
      </c>
      <c r="C651" s="20" t="s">
        <v>427</v>
      </c>
      <c r="D651" s="20" t="s">
        <v>81</v>
      </c>
      <c r="E651" s="20" t="s">
        <v>429</v>
      </c>
      <c r="F651" s="20" t="s">
        <v>4</v>
      </c>
      <c r="G651" s="40">
        <f>G652</f>
        <v>14989.742</v>
      </c>
      <c r="H651" s="40">
        <f t="shared" ref="H651:I651" si="307">H652</f>
        <v>14989.742</v>
      </c>
      <c r="I651" s="40">
        <f t="shared" si="307"/>
        <v>15040.423999999999</v>
      </c>
      <c r="J651" s="1"/>
    </row>
    <row r="652" spans="1:10" ht="31.5" outlineLevel="5">
      <c r="A652" s="18" t="s">
        <v>430</v>
      </c>
      <c r="B652" s="19" t="s">
        <v>419</v>
      </c>
      <c r="C652" s="20" t="s">
        <v>427</v>
      </c>
      <c r="D652" s="20" t="s">
        <v>81</v>
      </c>
      <c r="E652" s="20" t="s">
        <v>431</v>
      </c>
      <c r="F652" s="20" t="s">
        <v>4</v>
      </c>
      <c r="G652" s="40">
        <f>G653+G655+G657</f>
        <v>14989.742</v>
      </c>
      <c r="H652" s="40">
        <f t="shared" ref="H652:I652" si="308">H653+H655+H657</f>
        <v>14989.742</v>
      </c>
      <c r="I652" s="40">
        <f t="shared" si="308"/>
        <v>15040.423999999999</v>
      </c>
      <c r="J652" s="1"/>
    </row>
    <row r="653" spans="1:10" ht="78.75" outlineLevel="6">
      <c r="A653" s="18" t="s">
        <v>457</v>
      </c>
      <c r="B653" s="19" t="s">
        <v>419</v>
      </c>
      <c r="C653" s="20" t="s">
        <v>427</v>
      </c>
      <c r="D653" s="20" t="s">
        <v>81</v>
      </c>
      <c r="E653" s="20" t="s">
        <v>458</v>
      </c>
      <c r="F653" s="20" t="s">
        <v>4</v>
      </c>
      <c r="G653" s="40">
        <f>G654</f>
        <v>313.18200000000002</v>
      </c>
      <c r="H653" s="40">
        <f t="shared" ref="H653:I653" si="309">H654</f>
        <v>313.18200000000002</v>
      </c>
      <c r="I653" s="40">
        <f t="shared" si="309"/>
        <v>363.86399999999998</v>
      </c>
      <c r="J653" s="1"/>
    </row>
    <row r="654" spans="1:10" ht="63" customHeight="1" outlineLevel="7">
      <c r="A654" s="18" t="s">
        <v>103</v>
      </c>
      <c r="B654" s="19" t="s">
        <v>419</v>
      </c>
      <c r="C654" s="20" t="s">
        <v>427</v>
      </c>
      <c r="D654" s="20" t="s">
        <v>81</v>
      </c>
      <c r="E654" s="20" t="s">
        <v>458</v>
      </c>
      <c r="F654" s="20" t="s">
        <v>104</v>
      </c>
      <c r="G654" s="40">
        <f>317-3.4-0.418</f>
        <v>313.18200000000002</v>
      </c>
      <c r="H654" s="40">
        <f>317-3.4-0.418</f>
        <v>313.18200000000002</v>
      </c>
      <c r="I654" s="40">
        <f>368.4-4-0.536</f>
        <v>363.86399999999998</v>
      </c>
      <c r="J654" s="1"/>
    </row>
    <row r="655" spans="1:10" ht="78.75" outlineLevel="6">
      <c r="A655" s="18" t="s">
        <v>459</v>
      </c>
      <c r="B655" s="19" t="s">
        <v>419</v>
      </c>
      <c r="C655" s="20" t="s">
        <v>427</v>
      </c>
      <c r="D655" s="20" t="s">
        <v>81</v>
      </c>
      <c r="E655" s="20" t="s">
        <v>460</v>
      </c>
      <c r="F655" s="20" t="s">
        <v>4</v>
      </c>
      <c r="G655" s="40">
        <f>G656</f>
        <v>14676.56</v>
      </c>
      <c r="H655" s="40">
        <f t="shared" ref="H655:I655" si="310">H656</f>
        <v>14676.56</v>
      </c>
      <c r="I655" s="40">
        <f t="shared" si="310"/>
        <v>14676.56</v>
      </c>
      <c r="J655" s="1"/>
    </row>
    <row r="656" spans="1:10" ht="63.75" customHeight="1" outlineLevel="7">
      <c r="A656" s="18" t="s">
        <v>103</v>
      </c>
      <c r="B656" s="19" t="s">
        <v>419</v>
      </c>
      <c r="C656" s="20" t="s">
        <v>427</v>
      </c>
      <c r="D656" s="20" t="s">
        <v>81</v>
      </c>
      <c r="E656" s="20" t="s">
        <v>460</v>
      </c>
      <c r="F656" s="20" t="s">
        <v>104</v>
      </c>
      <c r="G656" s="40">
        <f>14676.6-0.04</f>
        <v>14676.56</v>
      </c>
      <c r="H656" s="40">
        <f>14676.6-0.04</f>
        <v>14676.56</v>
      </c>
      <c r="I656" s="40">
        <f>14676.6-0.04</f>
        <v>14676.56</v>
      </c>
      <c r="J656" s="1"/>
    </row>
    <row r="657" spans="1:10" ht="78.75" hidden="1" outlineLevel="6">
      <c r="A657" s="18" t="s">
        <v>461</v>
      </c>
      <c r="B657" s="19" t="s">
        <v>419</v>
      </c>
      <c r="C657" s="20" t="s">
        <v>427</v>
      </c>
      <c r="D657" s="20" t="s">
        <v>81</v>
      </c>
      <c r="E657" s="20" t="s">
        <v>462</v>
      </c>
      <c r="F657" s="20" t="s">
        <v>4</v>
      </c>
      <c r="G657" s="40">
        <f>G658</f>
        <v>0</v>
      </c>
      <c r="H657" s="40">
        <f t="shared" ref="H657:I657" si="311">H658</f>
        <v>0</v>
      </c>
      <c r="I657" s="40">
        <f t="shared" si="311"/>
        <v>0</v>
      </c>
      <c r="J657" s="1"/>
    </row>
    <row r="658" spans="1:10" ht="63" hidden="1" customHeight="1" outlineLevel="7">
      <c r="A658" s="18" t="s">
        <v>103</v>
      </c>
      <c r="B658" s="19" t="s">
        <v>419</v>
      </c>
      <c r="C658" s="20" t="s">
        <v>427</v>
      </c>
      <c r="D658" s="20" t="s">
        <v>81</v>
      </c>
      <c r="E658" s="20" t="s">
        <v>462</v>
      </c>
      <c r="F658" s="20" t="s">
        <v>104</v>
      </c>
      <c r="G658" s="40">
        <f>1894.6-1894.6</f>
        <v>0</v>
      </c>
      <c r="H658" s="40">
        <f>1894.6-1894.6</f>
        <v>0</v>
      </c>
      <c r="I658" s="40">
        <f>1894.6-1894.6</f>
        <v>0</v>
      </c>
      <c r="J658" s="1"/>
    </row>
    <row r="659" spans="1:10" ht="47.25" outlineLevel="4" collapsed="1">
      <c r="A659" s="18" t="s">
        <v>94</v>
      </c>
      <c r="B659" s="19" t="s">
        <v>419</v>
      </c>
      <c r="C659" s="20" t="s">
        <v>427</v>
      </c>
      <c r="D659" s="20" t="s">
        <v>81</v>
      </c>
      <c r="E659" s="20" t="s">
        <v>434</v>
      </c>
      <c r="F659" s="20" t="s">
        <v>4</v>
      </c>
      <c r="G659" s="40">
        <f>G660</f>
        <v>3994.6</v>
      </c>
      <c r="H659" s="40">
        <f t="shared" ref="H659:I659" si="312">H660</f>
        <v>7844.6</v>
      </c>
      <c r="I659" s="40">
        <f t="shared" si="312"/>
        <v>20294.599999999999</v>
      </c>
      <c r="J659" s="1"/>
    </row>
    <row r="660" spans="1:10" ht="78.75" outlineLevel="5">
      <c r="A660" s="18" t="s">
        <v>435</v>
      </c>
      <c r="B660" s="19" t="s">
        <v>419</v>
      </c>
      <c r="C660" s="20" t="s">
        <v>427</v>
      </c>
      <c r="D660" s="20" t="s">
        <v>81</v>
      </c>
      <c r="E660" s="20" t="s">
        <v>436</v>
      </c>
      <c r="F660" s="20" t="s">
        <v>4</v>
      </c>
      <c r="G660" s="40">
        <f>G661+G665+G663+G667</f>
        <v>3994.6</v>
      </c>
      <c r="H660" s="40">
        <f>H661+H665+H663+H667</f>
        <v>7844.6</v>
      </c>
      <c r="I660" s="40">
        <f>I661+I665+I663+I667</f>
        <v>20294.599999999999</v>
      </c>
      <c r="J660" s="1"/>
    </row>
    <row r="661" spans="1:10" ht="31.5" outlineLevel="6">
      <c r="A661" s="18" t="s">
        <v>463</v>
      </c>
      <c r="B661" s="19" t="s">
        <v>419</v>
      </c>
      <c r="C661" s="20" t="s">
        <v>427</v>
      </c>
      <c r="D661" s="20" t="s">
        <v>81</v>
      </c>
      <c r="E661" s="20" t="s">
        <v>464</v>
      </c>
      <c r="F661" s="20" t="s">
        <v>4</v>
      </c>
      <c r="G661" s="40">
        <f>G662</f>
        <v>2100</v>
      </c>
      <c r="H661" s="40">
        <f t="shared" ref="H661:I661" si="313">H662</f>
        <v>5950</v>
      </c>
      <c r="I661" s="40">
        <f t="shared" si="313"/>
        <v>18400</v>
      </c>
      <c r="J661" s="1"/>
    </row>
    <row r="662" spans="1:10" ht="66" customHeight="1" outlineLevel="7">
      <c r="A662" s="18" t="s">
        <v>103</v>
      </c>
      <c r="B662" s="19" t="s">
        <v>419</v>
      </c>
      <c r="C662" s="20" t="s">
        <v>427</v>
      </c>
      <c r="D662" s="20" t="s">
        <v>81</v>
      </c>
      <c r="E662" s="20" t="s">
        <v>464</v>
      </c>
      <c r="F662" s="20" t="s">
        <v>104</v>
      </c>
      <c r="G662" s="40">
        <f>1827+273</f>
        <v>2100</v>
      </c>
      <c r="H662" s="40">
        <f>5176.5+773.5</f>
        <v>5950</v>
      </c>
      <c r="I662" s="40">
        <f>16008+2392</f>
        <v>18400</v>
      </c>
      <c r="J662" s="1"/>
    </row>
    <row r="663" spans="1:10" ht="70.5" customHeight="1" outlineLevel="7">
      <c r="A663" s="30" t="s">
        <v>665</v>
      </c>
      <c r="B663" s="22" t="s">
        <v>419</v>
      </c>
      <c r="C663" s="20" t="s">
        <v>427</v>
      </c>
      <c r="D663" s="20" t="s">
        <v>81</v>
      </c>
      <c r="E663" s="20" t="s">
        <v>666</v>
      </c>
      <c r="F663" s="20" t="s">
        <v>4</v>
      </c>
      <c r="G663" s="40">
        <f>G664</f>
        <v>1894.6</v>
      </c>
      <c r="H663" s="40">
        <f>H664</f>
        <v>1894.6</v>
      </c>
      <c r="I663" s="40">
        <f>I664</f>
        <v>1894.6</v>
      </c>
      <c r="J663" s="1"/>
    </row>
    <row r="664" spans="1:10" ht="63" customHeight="1" outlineLevel="7">
      <c r="A664" s="18" t="s">
        <v>103</v>
      </c>
      <c r="B664" s="19" t="s">
        <v>419</v>
      </c>
      <c r="C664" s="20" t="s">
        <v>427</v>
      </c>
      <c r="D664" s="20" t="s">
        <v>81</v>
      </c>
      <c r="E664" s="20" t="s">
        <v>666</v>
      </c>
      <c r="F664" s="20" t="s">
        <v>104</v>
      </c>
      <c r="G664" s="40">
        <f>1648.3+246.3</f>
        <v>1894.6</v>
      </c>
      <c r="H664" s="40">
        <f>1648.3+246.3</f>
        <v>1894.6</v>
      </c>
      <c r="I664" s="40">
        <f>1648.3+246.3</f>
        <v>1894.6</v>
      </c>
      <c r="J664" s="1"/>
    </row>
    <row r="665" spans="1:10" ht="31.5" hidden="1" outlineLevel="6">
      <c r="A665" s="18" t="s">
        <v>463</v>
      </c>
      <c r="B665" s="19" t="s">
        <v>419</v>
      </c>
      <c r="C665" s="20" t="s">
        <v>427</v>
      </c>
      <c r="D665" s="20" t="s">
        <v>81</v>
      </c>
      <c r="E665" s="20" t="s">
        <v>465</v>
      </c>
      <c r="F665" s="20" t="s">
        <v>4</v>
      </c>
      <c r="G665" s="40">
        <f>G666</f>
        <v>0</v>
      </c>
      <c r="H665" s="40">
        <f t="shared" ref="H665:I665" si="314">H666</f>
        <v>0</v>
      </c>
      <c r="I665" s="40">
        <f t="shared" si="314"/>
        <v>0</v>
      </c>
      <c r="J665" s="1"/>
    </row>
    <row r="666" spans="1:10" ht="62.25" hidden="1" customHeight="1" outlineLevel="7">
      <c r="A666" s="18" t="s">
        <v>103</v>
      </c>
      <c r="B666" s="19" t="s">
        <v>419</v>
      </c>
      <c r="C666" s="20" t="s">
        <v>427</v>
      </c>
      <c r="D666" s="20" t="s">
        <v>81</v>
      </c>
      <c r="E666" s="20" t="s">
        <v>465</v>
      </c>
      <c r="F666" s="20" t="s">
        <v>104</v>
      </c>
      <c r="G666" s="40">
        <f>273-273</f>
        <v>0</v>
      </c>
      <c r="H666" s="40">
        <f>773.5-773.5</f>
        <v>0</v>
      </c>
      <c r="I666" s="40">
        <f>2392-2392</f>
        <v>0</v>
      </c>
      <c r="J666" s="1"/>
    </row>
    <row r="667" spans="1:10" ht="81.75" hidden="1" customHeight="1" outlineLevel="7">
      <c r="A667" s="30" t="s">
        <v>668</v>
      </c>
      <c r="B667" s="22" t="s">
        <v>419</v>
      </c>
      <c r="C667" s="20" t="s">
        <v>427</v>
      </c>
      <c r="D667" s="20" t="s">
        <v>81</v>
      </c>
      <c r="E667" s="20" t="s">
        <v>667</v>
      </c>
      <c r="F667" s="20" t="s">
        <v>4</v>
      </c>
      <c r="G667" s="40">
        <f>G668</f>
        <v>0</v>
      </c>
      <c r="H667" s="40">
        <f>H668</f>
        <v>0</v>
      </c>
      <c r="I667" s="40">
        <f>I668</f>
        <v>0</v>
      </c>
      <c r="J667" s="1"/>
    </row>
    <row r="668" spans="1:10" ht="62.25" hidden="1" customHeight="1" outlineLevel="7">
      <c r="A668" s="18" t="s">
        <v>103</v>
      </c>
      <c r="B668" s="19" t="s">
        <v>419</v>
      </c>
      <c r="C668" s="20" t="s">
        <v>427</v>
      </c>
      <c r="D668" s="20" t="s">
        <v>81</v>
      </c>
      <c r="E668" s="20" t="s">
        <v>667</v>
      </c>
      <c r="F668" s="20" t="s">
        <v>104</v>
      </c>
      <c r="G668" s="40">
        <f>246.3-246.3</f>
        <v>0</v>
      </c>
      <c r="H668" s="40">
        <f>246.3-246.3</f>
        <v>0</v>
      </c>
      <c r="I668" s="40">
        <f>246.3-246.3</f>
        <v>0</v>
      </c>
      <c r="J668" s="1"/>
    </row>
    <row r="669" spans="1:10" ht="31.5" outlineLevel="2" collapsed="1">
      <c r="A669" s="15" t="s">
        <v>466</v>
      </c>
      <c r="B669" s="16" t="s">
        <v>419</v>
      </c>
      <c r="C669" s="17" t="s">
        <v>427</v>
      </c>
      <c r="D669" s="17" t="s">
        <v>45</v>
      </c>
      <c r="E669" s="17" t="s">
        <v>3</v>
      </c>
      <c r="F669" s="17" t="s">
        <v>4</v>
      </c>
      <c r="G669" s="39">
        <f>G670+G679</f>
        <v>7407.5999999999995</v>
      </c>
      <c r="H669" s="39">
        <f t="shared" ref="H669:I671" si="315">H670</f>
        <v>5894.1</v>
      </c>
      <c r="I669" s="39">
        <f t="shared" si="315"/>
        <v>5894.1</v>
      </c>
      <c r="J669" s="1"/>
    </row>
    <row r="670" spans="1:10" ht="63" outlineLevel="3">
      <c r="A670" s="18" t="s">
        <v>420</v>
      </c>
      <c r="B670" s="19" t="s">
        <v>419</v>
      </c>
      <c r="C670" s="20" t="s">
        <v>427</v>
      </c>
      <c r="D670" s="20" t="s">
        <v>45</v>
      </c>
      <c r="E670" s="20" t="s">
        <v>421</v>
      </c>
      <c r="F670" s="20" t="s">
        <v>4</v>
      </c>
      <c r="G670" s="40">
        <f>G671</f>
        <v>7322.4</v>
      </c>
      <c r="H670" s="40">
        <f t="shared" si="315"/>
        <v>5894.1</v>
      </c>
      <c r="I670" s="40">
        <f t="shared" si="315"/>
        <v>5894.1</v>
      </c>
      <c r="J670" s="1"/>
    </row>
    <row r="671" spans="1:10" ht="31.5" outlineLevel="4">
      <c r="A671" s="18" t="s">
        <v>11</v>
      </c>
      <c r="B671" s="19" t="s">
        <v>419</v>
      </c>
      <c r="C671" s="20" t="s">
        <v>427</v>
      </c>
      <c r="D671" s="20" t="s">
        <v>45</v>
      </c>
      <c r="E671" s="20" t="s">
        <v>422</v>
      </c>
      <c r="F671" s="20" t="s">
        <v>4</v>
      </c>
      <c r="G671" s="40">
        <f>G672</f>
        <v>7322.4</v>
      </c>
      <c r="H671" s="40">
        <f t="shared" si="315"/>
        <v>5894.1</v>
      </c>
      <c r="I671" s="40">
        <f t="shared" si="315"/>
        <v>5894.1</v>
      </c>
      <c r="J671" s="1"/>
    </row>
    <row r="672" spans="1:10" ht="63" outlineLevel="5">
      <c r="A672" s="18" t="s">
        <v>69</v>
      </c>
      <c r="B672" s="19" t="s">
        <v>419</v>
      </c>
      <c r="C672" s="20" t="s">
        <v>427</v>
      </c>
      <c r="D672" s="20" t="s">
        <v>45</v>
      </c>
      <c r="E672" s="20" t="s">
        <v>423</v>
      </c>
      <c r="F672" s="20" t="s">
        <v>4</v>
      </c>
      <c r="G672" s="40">
        <f>G673+G676</f>
        <v>7322.4</v>
      </c>
      <c r="H672" s="40">
        <f t="shared" ref="H672:I672" si="316">H673+H676</f>
        <v>5894.1</v>
      </c>
      <c r="I672" s="40">
        <f t="shared" si="316"/>
        <v>5894.1</v>
      </c>
      <c r="J672" s="1"/>
    </row>
    <row r="673" spans="1:10" ht="47.25" outlineLevel="6">
      <c r="A673" s="18" t="s">
        <v>21</v>
      </c>
      <c r="B673" s="19" t="s">
        <v>419</v>
      </c>
      <c r="C673" s="20" t="s">
        <v>427</v>
      </c>
      <c r="D673" s="20" t="s">
        <v>45</v>
      </c>
      <c r="E673" s="20" t="s">
        <v>467</v>
      </c>
      <c r="F673" s="20" t="s">
        <v>4</v>
      </c>
      <c r="G673" s="40">
        <f>G674+G675</f>
        <v>4106.5</v>
      </c>
      <c r="H673" s="40">
        <f t="shared" ref="H673:I673" si="317">H674+H675</f>
        <v>2827.3</v>
      </c>
      <c r="I673" s="40">
        <f t="shared" si="317"/>
        <v>2827.3</v>
      </c>
      <c r="J673" s="1"/>
    </row>
    <row r="674" spans="1:10" ht="126.75" customHeight="1" outlineLevel="7">
      <c r="A674" s="18" t="s">
        <v>17</v>
      </c>
      <c r="B674" s="19" t="s">
        <v>419</v>
      </c>
      <c r="C674" s="20" t="s">
        <v>427</v>
      </c>
      <c r="D674" s="20" t="s">
        <v>45</v>
      </c>
      <c r="E674" s="20" t="s">
        <v>467</v>
      </c>
      <c r="F674" s="20" t="s">
        <v>18</v>
      </c>
      <c r="G674" s="40">
        <f>2742.3+98.7+440.2+347.3+393</f>
        <v>4021.5</v>
      </c>
      <c r="H674" s="40">
        <v>2742.3</v>
      </c>
      <c r="I674" s="40">
        <v>2742.3</v>
      </c>
      <c r="J674" s="1"/>
    </row>
    <row r="675" spans="1:10" ht="63" outlineLevel="7">
      <c r="A675" s="18" t="s">
        <v>27</v>
      </c>
      <c r="B675" s="19" t="s">
        <v>419</v>
      </c>
      <c r="C675" s="20" t="s">
        <v>427</v>
      </c>
      <c r="D675" s="20" t="s">
        <v>45</v>
      </c>
      <c r="E675" s="20" t="s">
        <v>467</v>
      </c>
      <c r="F675" s="20" t="s">
        <v>28</v>
      </c>
      <c r="G675" s="40">
        <v>85</v>
      </c>
      <c r="H675" s="40">
        <v>85</v>
      </c>
      <c r="I675" s="40">
        <v>85</v>
      </c>
      <c r="J675" s="1"/>
    </row>
    <row r="676" spans="1:10" ht="47.25" outlineLevel="6">
      <c r="A676" s="18" t="s">
        <v>59</v>
      </c>
      <c r="B676" s="19" t="s">
        <v>419</v>
      </c>
      <c r="C676" s="20" t="s">
        <v>427</v>
      </c>
      <c r="D676" s="20" t="s">
        <v>45</v>
      </c>
      <c r="E676" s="20" t="s">
        <v>468</v>
      </c>
      <c r="F676" s="20" t="s">
        <v>4</v>
      </c>
      <c r="G676" s="40">
        <f>G677+G678</f>
        <v>3215.8999999999996</v>
      </c>
      <c r="H676" s="40">
        <f t="shared" ref="H676:I676" si="318">H677+H678</f>
        <v>3066.7999999999997</v>
      </c>
      <c r="I676" s="40">
        <f t="shared" si="318"/>
        <v>3066.7999999999997</v>
      </c>
      <c r="J676" s="1"/>
    </row>
    <row r="677" spans="1:10" ht="124.5" customHeight="1" outlineLevel="7">
      <c r="A677" s="18" t="s">
        <v>17</v>
      </c>
      <c r="B677" s="19" t="s">
        <v>419</v>
      </c>
      <c r="C677" s="20" t="s">
        <v>427</v>
      </c>
      <c r="D677" s="20" t="s">
        <v>45</v>
      </c>
      <c r="E677" s="20" t="s">
        <v>468</v>
      </c>
      <c r="F677" s="20" t="s">
        <v>18</v>
      </c>
      <c r="G677" s="40">
        <f>2822.7+101.6+44.5+3</f>
        <v>2971.7999999999997</v>
      </c>
      <c r="H677" s="40">
        <v>2822.7</v>
      </c>
      <c r="I677" s="40">
        <v>2822.7</v>
      </c>
      <c r="J677" s="1"/>
    </row>
    <row r="678" spans="1:10" ht="63" outlineLevel="7">
      <c r="A678" s="18" t="s">
        <v>27</v>
      </c>
      <c r="B678" s="19" t="s">
        <v>419</v>
      </c>
      <c r="C678" s="20" t="s">
        <v>427</v>
      </c>
      <c r="D678" s="20" t="s">
        <v>45</v>
      </c>
      <c r="E678" s="20" t="s">
        <v>468</v>
      </c>
      <c r="F678" s="20" t="s">
        <v>28</v>
      </c>
      <c r="G678" s="40">
        <v>244.1</v>
      </c>
      <c r="H678" s="40">
        <v>244.1</v>
      </c>
      <c r="I678" s="40">
        <v>244.1</v>
      </c>
      <c r="J678" s="1"/>
    </row>
    <row r="679" spans="1:10" ht="31.5" outlineLevel="7">
      <c r="A679" s="18" t="s">
        <v>140</v>
      </c>
      <c r="B679" s="19" t="s">
        <v>419</v>
      </c>
      <c r="C679" s="20" t="s">
        <v>427</v>
      </c>
      <c r="D679" s="20" t="s">
        <v>45</v>
      </c>
      <c r="E679" s="20" t="s">
        <v>141</v>
      </c>
      <c r="F679" s="20" t="s">
        <v>4</v>
      </c>
      <c r="G679" s="40">
        <f t="shared" ref="G679:G680" si="319">G680</f>
        <v>85.2</v>
      </c>
      <c r="H679" s="40">
        <f t="shared" ref="H679:H680" si="320">H680</f>
        <v>0</v>
      </c>
      <c r="I679" s="40">
        <f t="shared" ref="I679:I680" si="321">I680</f>
        <v>0</v>
      </c>
      <c r="J679" s="1"/>
    </row>
    <row r="680" spans="1:10" ht="15.75" outlineLevel="7">
      <c r="A680" s="18" t="s">
        <v>142</v>
      </c>
      <c r="B680" s="19" t="s">
        <v>419</v>
      </c>
      <c r="C680" s="20" t="s">
        <v>427</v>
      </c>
      <c r="D680" s="20" t="s">
        <v>45</v>
      </c>
      <c r="E680" s="20" t="s">
        <v>143</v>
      </c>
      <c r="F680" s="20" t="s">
        <v>4</v>
      </c>
      <c r="G680" s="40">
        <f t="shared" si="319"/>
        <v>85.2</v>
      </c>
      <c r="H680" s="40">
        <f t="shared" si="320"/>
        <v>0</v>
      </c>
      <c r="I680" s="40">
        <f t="shared" si="321"/>
        <v>0</v>
      </c>
      <c r="J680" s="1"/>
    </row>
    <row r="681" spans="1:10" ht="94.5" outlineLevel="7">
      <c r="A681" s="21" t="s">
        <v>769</v>
      </c>
      <c r="B681" s="19" t="s">
        <v>419</v>
      </c>
      <c r="C681" s="20" t="s">
        <v>427</v>
      </c>
      <c r="D681" s="20" t="s">
        <v>45</v>
      </c>
      <c r="E681" s="23">
        <v>9990055491</v>
      </c>
      <c r="F681" s="19" t="s">
        <v>4</v>
      </c>
      <c r="G681" s="40">
        <f>G682</f>
        <v>85.2</v>
      </c>
      <c r="H681" s="40">
        <f>H682</f>
        <v>0</v>
      </c>
      <c r="I681" s="40">
        <f>I682</f>
        <v>0</v>
      </c>
      <c r="J681" s="1"/>
    </row>
    <row r="682" spans="1:10" ht="128.25" customHeight="1" outlineLevel="7">
      <c r="A682" s="18" t="s">
        <v>17</v>
      </c>
      <c r="B682" s="19" t="s">
        <v>419</v>
      </c>
      <c r="C682" s="20" t="s">
        <v>427</v>
      </c>
      <c r="D682" s="20" t="s">
        <v>45</v>
      </c>
      <c r="E682" s="23">
        <v>9990055491</v>
      </c>
      <c r="F682" s="19" t="s">
        <v>18</v>
      </c>
      <c r="G682" s="40">
        <v>85.2</v>
      </c>
      <c r="H682" s="40">
        <v>0</v>
      </c>
      <c r="I682" s="40">
        <v>0</v>
      </c>
      <c r="J682" s="1"/>
    </row>
    <row r="683" spans="1:10" ht="31.5">
      <c r="A683" s="12" t="s">
        <v>469</v>
      </c>
      <c r="B683" s="13" t="s">
        <v>470</v>
      </c>
      <c r="C683" s="14" t="s">
        <v>2</v>
      </c>
      <c r="D683" s="14" t="s">
        <v>2</v>
      </c>
      <c r="E683" s="14" t="s">
        <v>3</v>
      </c>
      <c r="F683" s="14" t="s">
        <v>4</v>
      </c>
      <c r="G683" s="38">
        <f>G684+G704+G862</f>
        <v>1572165.6</v>
      </c>
      <c r="H683" s="38">
        <f t="shared" ref="H683:I683" si="322">H684+H704+H862</f>
        <v>1432964.4999999998</v>
      </c>
      <c r="I683" s="38">
        <f t="shared" si="322"/>
        <v>1432987.7999999998</v>
      </c>
      <c r="J683" s="1"/>
    </row>
    <row r="684" spans="1:10" ht="63" outlineLevel="1">
      <c r="A684" s="12" t="s">
        <v>80</v>
      </c>
      <c r="B684" s="13" t="s">
        <v>470</v>
      </c>
      <c r="C684" s="14" t="s">
        <v>81</v>
      </c>
      <c r="D684" s="14" t="s">
        <v>2</v>
      </c>
      <c r="E684" s="14" t="s">
        <v>3</v>
      </c>
      <c r="F684" s="14" t="s">
        <v>4</v>
      </c>
      <c r="G684" s="38">
        <f>G685</f>
        <v>50</v>
      </c>
      <c r="H684" s="38">
        <f t="shared" ref="H684:I684" si="323">H685</f>
        <v>164.9</v>
      </c>
      <c r="I684" s="38">
        <f t="shared" si="323"/>
        <v>624.70000000000005</v>
      </c>
      <c r="J684" s="1"/>
    </row>
    <row r="685" spans="1:10" ht="47.25" outlineLevel="2">
      <c r="A685" s="15" t="s">
        <v>85</v>
      </c>
      <c r="B685" s="16" t="s">
        <v>470</v>
      </c>
      <c r="C685" s="17" t="s">
        <v>81</v>
      </c>
      <c r="D685" s="17" t="s">
        <v>86</v>
      </c>
      <c r="E685" s="17" t="s">
        <v>3</v>
      </c>
      <c r="F685" s="17" t="s">
        <v>4</v>
      </c>
      <c r="G685" s="39">
        <f>G686+G693</f>
        <v>50</v>
      </c>
      <c r="H685" s="39">
        <f t="shared" ref="H685:I685" si="324">H686+H693</f>
        <v>164.9</v>
      </c>
      <c r="I685" s="39">
        <f t="shared" si="324"/>
        <v>624.70000000000005</v>
      </c>
      <c r="J685" s="1"/>
    </row>
    <row r="686" spans="1:10" ht="47.25" outlineLevel="3">
      <c r="A686" s="18" t="s">
        <v>471</v>
      </c>
      <c r="B686" s="19" t="s">
        <v>470</v>
      </c>
      <c r="C686" s="20" t="s">
        <v>81</v>
      </c>
      <c r="D686" s="20" t="s">
        <v>86</v>
      </c>
      <c r="E686" s="20" t="s">
        <v>472</v>
      </c>
      <c r="F686" s="20" t="s">
        <v>4</v>
      </c>
      <c r="G686" s="40">
        <f>G687</f>
        <v>0</v>
      </c>
      <c r="H686" s="40">
        <f t="shared" ref="H686:I687" si="325">H687</f>
        <v>114.9</v>
      </c>
      <c r="I686" s="40">
        <f t="shared" si="325"/>
        <v>0</v>
      </c>
      <c r="J686" s="1"/>
    </row>
    <row r="687" spans="1:10" ht="47.25" outlineLevel="4">
      <c r="A687" s="18" t="s">
        <v>94</v>
      </c>
      <c r="B687" s="19" t="s">
        <v>470</v>
      </c>
      <c r="C687" s="20" t="s">
        <v>81</v>
      </c>
      <c r="D687" s="20" t="s">
        <v>86</v>
      </c>
      <c r="E687" s="20" t="s">
        <v>473</v>
      </c>
      <c r="F687" s="20" t="s">
        <v>4</v>
      </c>
      <c r="G687" s="40">
        <f>G688</f>
        <v>0</v>
      </c>
      <c r="H687" s="40">
        <f t="shared" si="325"/>
        <v>114.9</v>
      </c>
      <c r="I687" s="40">
        <f t="shared" si="325"/>
        <v>0</v>
      </c>
      <c r="J687" s="1"/>
    </row>
    <row r="688" spans="1:10" ht="110.25" outlineLevel="5">
      <c r="A688" s="18" t="s">
        <v>474</v>
      </c>
      <c r="B688" s="19" t="s">
        <v>470</v>
      </c>
      <c r="C688" s="20" t="s">
        <v>81</v>
      </c>
      <c r="D688" s="20" t="s">
        <v>86</v>
      </c>
      <c r="E688" s="20" t="s">
        <v>475</v>
      </c>
      <c r="F688" s="20" t="s">
        <v>4</v>
      </c>
      <c r="G688" s="40">
        <f>G689+G691</f>
        <v>0</v>
      </c>
      <c r="H688" s="40">
        <f t="shared" ref="H688:I688" si="326">H689+H691</f>
        <v>114.9</v>
      </c>
      <c r="I688" s="40">
        <f t="shared" si="326"/>
        <v>0</v>
      </c>
      <c r="J688" s="1"/>
    </row>
    <row r="689" spans="1:10" ht="47.25" outlineLevel="6">
      <c r="A689" s="18" t="s">
        <v>476</v>
      </c>
      <c r="B689" s="19" t="s">
        <v>470</v>
      </c>
      <c r="C689" s="20" t="s">
        <v>81</v>
      </c>
      <c r="D689" s="20" t="s">
        <v>86</v>
      </c>
      <c r="E689" s="20" t="s">
        <v>477</v>
      </c>
      <c r="F689" s="20" t="s">
        <v>4</v>
      </c>
      <c r="G689" s="40">
        <f>G690</f>
        <v>0</v>
      </c>
      <c r="H689" s="40">
        <f t="shared" ref="H689:I689" si="327">H690</f>
        <v>100</v>
      </c>
      <c r="I689" s="40">
        <f t="shared" si="327"/>
        <v>0</v>
      </c>
      <c r="J689" s="1"/>
    </row>
    <row r="690" spans="1:10" ht="63.75" customHeight="1" outlineLevel="7">
      <c r="A690" s="18" t="s">
        <v>103</v>
      </c>
      <c r="B690" s="19" t="s">
        <v>470</v>
      </c>
      <c r="C690" s="20" t="s">
        <v>81</v>
      </c>
      <c r="D690" s="20" t="s">
        <v>86</v>
      </c>
      <c r="E690" s="20" t="s">
        <v>477</v>
      </c>
      <c r="F690" s="20" t="s">
        <v>104</v>
      </c>
      <c r="G690" s="40">
        <v>0</v>
      </c>
      <c r="H690" s="40">
        <v>100</v>
      </c>
      <c r="I690" s="40">
        <v>0</v>
      </c>
      <c r="J690" s="1"/>
    </row>
    <row r="691" spans="1:10" ht="47.25" outlineLevel="6">
      <c r="A691" s="18" t="s">
        <v>476</v>
      </c>
      <c r="B691" s="19" t="s">
        <v>470</v>
      </c>
      <c r="C691" s="20" t="s">
        <v>81</v>
      </c>
      <c r="D691" s="20" t="s">
        <v>86</v>
      </c>
      <c r="E691" s="20" t="s">
        <v>478</v>
      </c>
      <c r="F691" s="20" t="s">
        <v>4</v>
      </c>
      <c r="G691" s="40">
        <f>G692</f>
        <v>0</v>
      </c>
      <c r="H691" s="40">
        <f t="shared" ref="H691:I691" si="328">H692</f>
        <v>14.9</v>
      </c>
      <c r="I691" s="40">
        <f t="shared" si="328"/>
        <v>0</v>
      </c>
      <c r="J691" s="1"/>
    </row>
    <row r="692" spans="1:10" ht="66" customHeight="1" outlineLevel="7">
      <c r="A692" s="18" t="s">
        <v>103</v>
      </c>
      <c r="B692" s="19" t="s">
        <v>470</v>
      </c>
      <c r="C692" s="20" t="s">
        <v>81</v>
      </c>
      <c r="D692" s="20" t="s">
        <v>86</v>
      </c>
      <c r="E692" s="20" t="s">
        <v>478</v>
      </c>
      <c r="F692" s="20" t="s">
        <v>104</v>
      </c>
      <c r="G692" s="40">
        <v>0</v>
      </c>
      <c r="H692" s="40">
        <v>14.9</v>
      </c>
      <c r="I692" s="40">
        <v>0</v>
      </c>
      <c r="J692" s="1"/>
    </row>
    <row r="693" spans="1:10" ht="94.5" outlineLevel="3">
      <c r="A693" s="18" t="s">
        <v>479</v>
      </c>
      <c r="B693" s="19" t="s">
        <v>470</v>
      </c>
      <c r="C693" s="20" t="s">
        <v>81</v>
      </c>
      <c r="D693" s="20" t="s">
        <v>86</v>
      </c>
      <c r="E693" s="20" t="s">
        <v>480</v>
      </c>
      <c r="F693" s="20" t="s">
        <v>4</v>
      </c>
      <c r="G693" s="40">
        <f>G694+G700</f>
        <v>50</v>
      </c>
      <c r="H693" s="40">
        <f t="shared" ref="H693:I693" si="329">H694+H700</f>
        <v>50</v>
      </c>
      <c r="I693" s="40">
        <f t="shared" si="329"/>
        <v>624.70000000000005</v>
      </c>
      <c r="J693" s="1"/>
    </row>
    <row r="694" spans="1:10" ht="47.25" outlineLevel="4">
      <c r="A694" s="18" t="s">
        <v>94</v>
      </c>
      <c r="B694" s="19" t="s">
        <v>470</v>
      </c>
      <c r="C694" s="20" t="s">
        <v>81</v>
      </c>
      <c r="D694" s="20" t="s">
        <v>86</v>
      </c>
      <c r="E694" s="20" t="s">
        <v>481</v>
      </c>
      <c r="F694" s="20" t="s">
        <v>4</v>
      </c>
      <c r="G694" s="40">
        <f>G695</f>
        <v>0</v>
      </c>
      <c r="H694" s="40">
        <f t="shared" ref="H694:I694" si="330">H695</f>
        <v>0</v>
      </c>
      <c r="I694" s="40">
        <f t="shared" si="330"/>
        <v>574.70000000000005</v>
      </c>
      <c r="J694" s="1"/>
    </row>
    <row r="695" spans="1:10" ht="110.25" outlineLevel="5">
      <c r="A695" s="18" t="s">
        <v>474</v>
      </c>
      <c r="B695" s="19" t="s">
        <v>470</v>
      </c>
      <c r="C695" s="20" t="s">
        <v>81</v>
      </c>
      <c r="D695" s="20" t="s">
        <v>86</v>
      </c>
      <c r="E695" s="20" t="s">
        <v>482</v>
      </c>
      <c r="F695" s="20" t="s">
        <v>4</v>
      </c>
      <c r="G695" s="40">
        <f>G696+G698</f>
        <v>0</v>
      </c>
      <c r="H695" s="40">
        <f t="shared" ref="H695:I695" si="331">H696+H698</f>
        <v>0</v>
      </c>
      <c r="I695" s="40">
        <f t="shared" si="331"/>
        <v>574.70000000000005</v>
      </c>
      <c r="J695" s="1"/>
    </row>
    <row r="696" spans="1:10" ht="98.25" customHeight="1" outlineLevel="6">
      <c r="A696" s="18" t="s">
        <v>483</v>
      </c>
      <c r="B696" s="19" t="s">
        <v>470</v>
      </c>
      <c r="C696" s="20" t="s">
        <v>81</v>
      </c>
      <c r="D696" s="20" t="s">
        <v>86</v>
      </c>
      <c r="E696" s="20" t="s">
        <v>484</v>
      </c>
      <c r="F696" s="20" t="s">
        <v>4</v>
      </c>
      <c r="G696" s="40">
        <f>G697</f>
        <v>0</v>
      </c>
      <c r="H696" s="40">
        <f t="shared" ref="H696:I696" si="332">H697</f>
        <v>0</v>
      </c>
      <c r="I696" s="40">
        <f t="shared" si="332"/>
        <v>500</v>
      </c>
      <c r="J696" s="1"/>
    </row>
    <row r="697" spans="1:10" ht="62.25" customHeight="1" outlineLevel="7">
      <c r="A697" s="18" t="s">
        <v>103</v>
      </c>
      <c r="B697" s="19" t="s">
        <v>470</v>
      </c>
      <c r="C697" s="20" t="s">
        <v>81</v>
      </c>
      <c r="D697" s="20" t="s">
        <v>86</v>
      </c>
      <c r="E697" s="20" t="s">
        <v>484</v>
      </c>
      <c r="F697" s="20" t="s">
        <v>104</v>
      </c>
      <c r="G697" s="40">
        <v>0</v>
      </c>
      <c r="H697" s="40">
        <v>0</v>
      </c>
      <c r="I697" s="40">
        <v>500</v>
      </c>
      <c r="J697" s="1"/>
    </row>
    <row r="698" spans="1:10" ht="93.75" customHeight="1" outlineLevel="6">
      <c r="A698" s="18" t="s">
        <v>483</v>
      </c>
      <c r="B698" s="19" t="s">
        <v>470</v>
      </c>
      <c r="C698" s="20" t="s">
        <v>81</v>
      </c>
      <c r="D698" s="20" t="s">
        <v>86</v>
      </c>
      <c r="E698" s="20" t="s">
        <v>485</v>
      </c>
      <c r="F698" s="20" t="s">
        <v>4</v>
      </c>
      <c r="G698" s="40">
        <f>G699</f>
        <v>0</v>
      </c>
      <c r="H698" s="40">
        <f t="shared" ref="H698:I698" si="333">H699</f>
        <v>0</v>
      </c>
      <c r="I698" s="40">
        <f t="shared" si="333"/>
        <v>74.7</v>
      </c>
      <c r="J698" s="1"/>
    </row>
    <row r="699" spans="1:10" ht="63.75" customHeight="1" outlineLevel="7">
      <c r="A699" s="18" t="s">
        <v>103</v>
      </c>
      <c r="B699" s="19" t="s">
        <v>470</v>
      </c>
      <c r="C699" s="20" t="s">
        <v>81</v>
      </c>
      <c r="D699" s="20" t="s">
        <v>86</v>
      </c>
      <c r="E699" s="20" t="s">
        <v>485</v>
      </c>
      <c r="F699" s="20" t="s">
        <v>104</v>
      </c>
      <c r="G699" s="40">
        <v>0</v>
      </c>
      <c r="H699" s="40">
        <v>0</v>
      </c>
      <c r="I699" s="40">
        <v>74.7</v>
      </c>
      <c r="J699" s="1"/>
    </row>
    <row r="700" spans="1:10" ht="31.5" outlineLevel="4">
      <c r="A700" s="18" t="s">
        <v>11</v>
      </c>
      <c r="B700" s="19" t="s">
        <v>470</v>
      </c>
      <c r="C700" s="20" t="s">
        <v>81</v>
      </c>
      <c r="D700" s="20" t="s">
        <v>86</v>
      </c>
      <c r="E700" s="20" t="s">
        <v>486</v>
      </c>
      <c r="F700" s="20" t="s">
        <v>4</v>
      </c>
      <c r="G700" s="40">
        <f>G701</f>
        <v>50</v>
      </c>
      <c r="H700" s="40">
        <f t="shared" ref="H700:I702" si="334">H701</f>
        <v>50</v>
      </c>
      <c r="I700" s="40">
        <f t="shared" si="334"/>
        <v>50</v>
      </c>
      <c r="J700" s="1"/>
    </row>
    <row r="701" spans="1:10" ht="110.25" outlineLevel="5">
      <c r="A701" s="18" t="s">
        <v>487</v>
      </c>
      <c r="B701" s="19" t="s">
        <v>470</v>
      </c>
      <c r="C701" s="20" t="s">
        <v>81</v>
      </c>
      <c r="D701" s="20" t="s">
        <v>86</v>
      </c>
      <c r="E701" s="20" t="s">
        <v>488</v>
      </c>
      <c r="F701" s="20" t="s">
        <v>4</v>
      </c>
      <c r="G701" s="40">
        <f>G702</f>
        <v>50</v>
      </c>
      <c r="H701" s="40">
        <f t="shared" si="334"/>
        <v>50</v>
      </c>
      <c r="I701" s="40">
        <f t="shared" si="334"/>
        <v>50</v>
      </c>
      <c r="J701" s="1"/>
    </row>
    <row r="702" spans="1:10" ht="92.25" customHeight="1" outlineLevel="6">
      <c r="A702" s="18" t="s">
        <v>489</v>
      </c>
      <c r="B702" s="19" t="s">
        <v>470</v>
      </c>
      <c r="C702" s="20" t="s">
        <v>81</v>
      </c>
      <c r="D702" s="20" t="s">
        <v>86</v>
      </c>
      <c r="E702" s="20" t="s">
        <v>490</v>
      </c>
      <c r="F702" s="20" t="s">
        <v>4</v>
      </c>
      <c r="G702" s="40">
        <f>G703</f>
        <v>50</v>
      </c>
      <c r="H702" s="40">
        <f t="shared" si="334"/>
        <v>50</v>
      </c>
      <c r="I702" s="40">
        <f t="shared" si="334"/>
        <v>50</v>
      </c>
      <c r="J702" s="1"/>
    </row>
    <row r="703" spans="1:10" ht="60.75" customHeight="1" outlineLevel="7">
      <c r="A703" s="18" t="s">
        <v>103</v>
      </c>
      <c r="B703" s="19" t="s">
        <v>470</v>
      </c>
      <c r="C703" s="20" t="s">
        <v>81</v>
      </c>
      <c r="D703" s="20" t="s">
        <v>86</v>
      </c>
      <c r="E703" s="20" t="s">
        <v>490</v>
      </c>
      <c r="F703" s="20" t="s">
        <v>104</v>
      </c>
      <c r="G703" s="40">
        <v>50</v>
      </c>
      <c r="H703" s="40">
        <v>50</v>
      </c>
      <c r="I703" s="40">
        <v>50</v>
      </c>
      <c r="J703" s="1"/>
    </row>
    <row r="704" spans="1:10" ht="15.75" outlineLevel="1">
      <c r="A704" s="12" t="s">
        <v>336</v>
      </c>
      <c r="B704" s="13" t="s">
        <v>470</v>
      </c>
      <c r="C704" s="14" t="s">
        <v>337</v>
      </c>
      <c r="D704" s="14" t="s">
        <v>2</v>
      </c>
      <c r="E704" s="14" t="s">
        <v>3</v>
      </c>
      <c r="F704" s="14" t="s">
        <v>4</v>
      </c>
      <c r="G704" s="38">
        <f>G705+G731+G792+G818+G843</f>
        <v>1466984.5</v>
      </c>
      <c r="H704" s="38">
        <f t="shared" ref="H704:I704" si="335">H705+H731+H792+H818+H843</f>
        <v>1331674.3999999999</v>
      </c>
      <c r="I704" s="38">
        <f t="shared" si="335"/>
        <v>1331237.8999999999</v>
      </c>
      <c r="J704" s="1"/>
    </row>
    <row r="705" spans="1:10" ht="15.75" outlineLevel="2">
      <c r="A705" s="15" t="s">
        <v>491</v>
      </c>
      <c r="B705" s="16" t="s">
        <v>470</v>
      </c>
      <c r="C705" s="17" t="s">
        <v>337</v>
      </c>
      <c r="D705" s="17" t="s">
        <v>6</v>
      </c>
      <c r="E705" s="17" t="s">
        <v>3</v>
      </c>
      <c r="F705" s="17" t="s">
        <v>4</v>
      </c>
      <c r="G705" s="39">
        <f>G706</f>
        <v>570619.14691999997</v>
      </c>
      <c r="H705" s="39">
        <f t="shared" ref="H705:I705" si="336">H706</f>
        <v>534855.60000000009</v>
      </c>
      <c r="I705" s="39">
        <f t="shared" si="336"/>
        <v>534787.9</v>
      </c>
      <c r="J705" s="1"/>
    </row>
    <row r="706" spans="1:10" ht="47.25" outlineLevel="3">
      <c r="A706" s="18" t="s">
        <v>471</v>
      </c>
      <c r="B706" s="19" t="s">
        <v>470</v>
      </c>
      <c r="C706" s="20" t="s">
        <v>337</v>
      </c>
      <c r="D706" s="20" t="s">
        <v>6</v>
      </c>
      <c r="E706" s="20" t="s">
        <v>472</v>
      </c>
      <c r="F706" s="20" t="s">
        <v>4</v>
      </c>
      <c r="G706" s="40">
        <f>G707+G713</f>
        <v>570619.14691999997</v>
      </c>
      <c r="H706" s="40">
        <f t="shared" ref="H706:I706" si="337">H707+H713</f>
        <v>534855.60000000009</v>
      </c>
      <c r="I706" s="40">
        <f t="shared" si="337"/>
        <v>534787.9</v>
      </c>
      <c r="J706" s="1"/>
    </row>
    <row r="707" spans="1:10" ht="47.25" outlineLevel="4">
      <c r="A707" s="18" t="s">
        <v>94</v>
      </c>
      <c r="B707" s="19" t="s">
        <v>470</v>
      </c>
      <c r="C707" s="20" t="s">
        <v>337</v>
      </c>
      <c r="D707" s="20" t="s">
        <v>6</v>
      </c>
      <c r="E707" s="20" t="s">
        <v>473</v>
      </c>
      <c r="F707" s="20" t="s">
        <v>4</v>
      </c>
      <c r="G707" s="40">
        <f>G708</f>
        <v>7783.9</v>
      </c>
      <c r="H707" s="40">
        <f t="shared" ref="H707:I707" si="338">H708</f>
        <v>7783.9</v>
      </c>
      <c r="I707" s="40">
        <f t="shared" si="338"/>
        <v>7783.9</v>
      </c>
      <c r="J707" s="1"/>
    </row>
    <row r="708" spans="1:10" ht="63" outlineLevel="5">
      <c r="A708" s="18" t="s">
        <v>492</v>
      </c>
      <c r="B708" s="19" t="s">
        <v>470</v>
      </c>
      <c r="C708" s="20" t="s">
        <v>337</v>
      </c>
      <c r="D708" s="20" t="s">
        <v>6</v>
      </c>
      <c r="E708" s="20" t="s">
        <v>493</v>
      </c>
      <c r="F708" s="20" t="s">
        <v>4</v>
      </c>
      <c r="G708" s="40">
        <f>G709+G711</f>
        <v>7783.9</v>
      </c>
      <c r="H708" s="40">
        <f t="shared" ref="H708:I708" si="339">H709+H711</f>
        <v>7783.9</v>
      </c>
      <c r="I708" s="40">
        <f t="shared" si="339"/>
        <v>7783.9</v>
      </c>
      <c r="J708" s="1"/>
    </row>
    <row r="709" spans="1:10" ht="110.25" outlineLevel="6">
      <c r="A709" s="18" t="s">
        <v>494</v>
      </c>
      <c r="B709" s="19" t="s">
        <v>470</v>
      </c>
      <c r="C709" s="20" t="s">
        <v>337</v>
      </c>
      <c r="D709" s="20" t="s">
        <v>6</v>
      </c>
      <c r="E709" s="20" t="s">
        <v>495</v>
      </c>
      <c r="F709" s="20" t="s">
        <v>4</v>
      </c>
      <c r="G709" s="40">
        <f>G710</f>
        <v>6772</v>
      </c>
      <c r="H709" s="40">
        <f t="shared" ref="H709:I709" si="340">H710</f>
        <v>6772</v>
      </c>
      <c r="I709" s="40">
        <f t="shared" si="340"/>
        <v>6772</v>
      </c>
      <c r="J709" s="1"/>
    </row>
    <row r="710" spans="1:10" ht="63" customHeight="1" outlineLevel="7">
      <c r="A710" s="18" t="s">
        <v>103</v>
      </c>
      <c r="B710" s="19" t="s">
        <v>470</v>
      </c>
      <c r="C710" s="20" t="s">
        <v>337</v>
      </c>
      <c r="D710" s="20" t="s">
        <v>6</v>
      </c>
      <c r="E710" s="20" t="s">
        <v>495</v>
      </c>
      <c r="F710" s="20" t="s">
        <v>104</v>
      </c>
      <c r="G710" s="40">
        <v>6772</v>
      </c>
      <c r="H710" s="40">
        <v>6772</v>
      </c>
      <c r="I710" s="40">
        <v>6772</v>
      </c>
      <c r="J710" s="1"/>
    </row>
    <row r="711" spans="1:10" ht="78.75" outlineLevel="6">
      <c r="A711" s="18" t="s">
        <v>496</v>
      </c>
      <c r="B711" s="19" t="s">
        <v>470</v>
      </c>
      <c r="C711" s="20" t="s">
        <v>337</v>
      </c>
      <c r="D711" s="20" t="s">
        <v>6</v>
      </c>
      <c r="E711" s="20" t="s">
        <v>497</v>
      </c>
      <c r="F711" s="20" t="s">
        <v>4</v>
      </c>
      <c r="G711" s="40">
        <f>G712</f>
        <v>1011.9</v>
      </c>
      <c r="H711" s="40">
        <f t="shared" ref="H711:I711" si="341">H712</f>
        <v>1011.9</v>
      </c>
      <c r="I711" s="40">
        <f t="shared" si="341"/>
        <v>1011.9</v>
      </c>
      <c r="J711" s="1"/>
    </row>
    <row r="712" spans="1:10" ht="60" customHeight="1" outlineLevel="7">
      <c r="A712" s="18" t="s">
        <v>103</v>
      </c>
      <c r="B712" s="19" t="s">
        <v>470</v>
      </c>
      <c r="C712" s="20" t="s">
        <v>337</v>
      </c>
      <c r="D712" s="20" t="s">
        <v>6</v>
      </c>
      <c r="E712" s="20" t="s">
        <v>497</v>
      </c>
      <c r="F712" s="20" t="s">
        <v>104</v>
      </c>
      <c r="G712" s="40">
        <v>1011.9</v>
      </c>
      <c r="H712" s="40">
        <v>1011.9</v>
      </c>
      <c r="I712" s="40">
        <v>1011.9</v>
      </c>
      <c r="J712" s="1"/>
    </row>
    <row r="713" spans="1:10" ht="31.5" outlineLevel="4">
      <c r="A713" s="18" t="s">
        <v>11</v>
      </c>
      <c r="B713" s="19" t="s">
        <v>470</v>
      </c>
      <c r="C713" s="20" t="s">
        <v>337</v>
      </c>
      <c r="D713" s="20" t="s">
        <v>6</v>
      </c>
      <c r="E713" s="20" t="s">
        <v>498</v>
      </c>
      <c r="F713" s="20" t="s">
        <v>4</v>
      </c>
      <c r="G713" s="40">
        <f>G714</f>
        <v>562835.24691999995</v>
      </c>
      <c r="H713" s="40">
        <f t="shared" ref="H713:I713" si="342">H714</f>
        <v>527071.70000000007</v>
      </c>
      <c r="I713" s="40">
        <f t="shared" si="342"/>
        <v>527004</v>
      </c>
      <c r="J713" s="1"/>
    </row>
    <row r="714" spans="1:10" ht="94.5" outlineLevel="5">
      <c r="A714" s="18" t="s">
        <v>499</v>
      </c>
      <c r="B714" s="19" t="s">
        <v>470</v>
      </c>
      <c r="C714" s="20" t="s">
        <v>337</v>
      </c>
      <c r="D714" s="20" t="s">
        <v>6</v>
      </c>
      <c r="E714" s="20" t="s">
        <v>500</v>
      </c>
      <c r="F714" s="20" t="s">
        <v>4</v>
      </c>
      <c r="G714" s="40">
        <f>G715+G717+G719+G721+G723+G725+G727+G729</f>
        <v>562835.24691999995</v>
      </c>
      <c r="H714" s="40">
        <f t="shared" ref="H714:I714" si="343">H715+H717+H719+H721+H723+H725+H727+H729</f>
        <v>527071.70000000007</v>
      </c>
      <c r="I714" s="40">
        <f t="shared" si="343"/>
        <v>527004</v>
      </c>
      <c r="J714" s="1"/>
    </row>
    <row r="715" spans="1:10" ht="31.5" outlineLevel="6">
      <c r="A715" s="18" t="s">
        <v>501</v>
      </c>
      <c r="B715" s="19" t="s">
        <v>470</v>
      </c>
      <c r="C715" s="20" t="s">
        <v>337</v>
      </c>
      <c r="D715" s="20" t="s">
        <v>6</v>
      </c>
      <c r="E715" s="20" t="s">
        <v>502</v>
      </c>
      <c r="F715" s="20" t="s">
        <v>4</v>
      </c>
      <c r="G715" s="40">
        <f>G716</f>
        <v>1577.7</v>
      </c>
      <c r="H715" s="40">
        <f t="shared" ref="H715:I715" si="344">H716</f>
        <v>1626.4</v>
      </c>
      <c r="I715" s="40">
        <f t="shared" si="344"/>
        <v>1633.4</v>
      </c>
      <c r="J715" s="1"/>
    </row>
    <row r="716" spans="1:10" ht="64.5" customHeight="1" outlineLevel="7">
      <c r="A716" s="18" t="s">
        <v>103</v>
      </c>
      <c r="B716" s="19" t="s">
        <v>470</v>
      </c>
      <c r="C716" s="20" t="s">
        <v>337</v>
      </c>
      <c r="D716" s="20" t="s">
        <v>6</v>
      </c>
      <c r="E716" s="20" t="s">
        <v>502</v>
      </c>
      <c r="F716" s="20" t="s">
        <v>104</v>
      </c>
      <c r="G716" s="40">
        <f>1643.5-65.8</f>
        <v>1577.7</v>
      </c>
      <c r="H716" s="40">
        <v>1626.4</v>
      </c>
      <c r="I716" s="40">
        <f>1626.4+7</f>
        <v>1633.4</v>
      </c>
      <c r="J716" s="1"/>
    </row>
    <row r="717" spans="1:10" ht="31.5" outlineLevel="6">
      <c r="A717" s="18" t="s">
        <v>503</v>
      </c>
      <c r="B717" s="19" t="s">
        <v>470</v>
      </c>
      <c r="C717" s="20" t="s">
        <v>337</v>
      </c>
      <c r="D717" s="20" t="s">
        <v>6</v>
      </c>
      <c r="E717" s="20" t="s">
        <v>504</v>
      </c>
      <c r="F717" s="20" t="s">
        <v>4</v>
      </c>
      <c r="G717" s="40">
        <f>G718</f>
        <v>0</v>
      </c>
      <c r="H717" s="40">
        <f t="shared" ref="H717:I717" si="345">H718</f>
        <v>600</v>
      </c>
      <c r="I717" s="40">
        <f t="shared" si="345"/>
        <v>600</v>
      </c>
      <c r="J717" s="1"/>
    </row>
    <row r="718" spans="1:10" ht="62.25" customHeight="1" outlineLevel="7">
      <c r="A718" s="18" t="s">
        <v>103</v>
      </c>
      <c r="B718" s="19" t="s">
        <v>470</v>
      </c>
      <c r="C718" s="20" t="s">
        <v>337</v>
      </c>
      <c r="D718" s="20" t="s">
        <v>6</v>
      </c>
      <c r="E718" s="20" t="s">
        <v>504</v>
      </c>
      <c r="F718" s="20" t="s">
        <v>104</v>
      </c>
      <c r="G718" s="40">
        <f>600-600</f>
        <v>0</v>
      </c>
      <c r="H718" s="40">
        <v>600</v>
      </c>
      <c r="I718" s="40">
        <v>600</v>
      </c>
      <c r="J718" s="1"/>
    </row>
    <row r="719" spans="1:10" ht="47.25" outlineLevel="6">
      <c r="A719" s="18" t="s">
        <v>505</v>
      </c>
      <c r="B719" s="19" t="s">
        <v>470</v>
      </c>
      <c r="C719" s="20" t="s">
        <v>337</v>
      </c>
      <c r="D719" s="20" t="s">
        <v>6</v>
      </c>
      <c r="E719" s="20" t="s">
        <v>506</v>
      </c>
      <c r="F719" s="20" t="s">
        <v>4</v>
      </c>
      <c r="G719" s="40">
        <f>G720</f>
        <v>150</v>
      </c>
      <c r="H719" s="40">
        <f t="shared" ref="H719:I719" si="346">H720</f>
        <v>150</v>
      </c>
      <c r="I719" s="40">
        <f t="shared" si="346"/>
        <v>150</v>
      </c>
      <c r="J719" s="1"/>
    </row>
    <row r="720" spans="1:10" ht="31.5" outlineLevel="7">
      <c r="A720" s="18" t="s">
        <v>42</v>
      </c>
      <c r="B720" s="19" t="s">
        <v>470</v>
      </c>
      <c r="C720" s="20" t="s">
        <v>337</v>
      </c>
      <c r="D720" s="20" t="s">
        <v>6</v>
      </c>
      <c r="E720" s="20" t="s">
        <v>506</v>
      </c>
      <c r="F720" s="20" t="s">
        <v>43</v>
      </c>
      <c r="G720" s="40">
        <v>150</v>
      </c>
      <c r="H720" s="40">
        <v>150</v>
      </c>
      <c r="I720" s="40">
        <v>150</v>
      </c>
      <c r="J720" s="1"/>
    </row>
    <row r="721" spans="1:10" ht="157.5" outlineLevel="6">
      <c r="A721" s="18" t="s">
        <v>507</v>
      </c>
      <c r="B721" s="19" t="s">
        <v>470</v>
      </c>
      <c r="C721" s="20" t="s">
        <v>337</v>
      </c>
      <c r="D721" s="20" t="s">
        <v>6</v>
      </c>
      <c r="E721" s="20" t="s">
        <v>508</v>
      </c>
      <c r="F721" s="20" t="s">
        <v>4</v>
      </c>
      <c r="G721" s="40">
        <f>G722</f>
        <v>960</v>
      </c>
      <c r="H721" s="40">
        <f t="shared" ref="H721:I721" si="347">H722</f>
        <v>900</v>
      </c>
      <c r="I721" s="40">
        <f t="shared" si="347"/>
        <v>900</v>
      </c>
      <c r="J721" s="1"/>
    </row>
    <row r="722" spans="1:10" ht="63" customHeight="1" outlineLevel="7">
      <c r="A722" s="18" t="s">
        <v>103</v>
      </c>
      <c r="B722" s="19" t="s">
        <v>470</v>
      </c>
      <c r="C722" s="20" t="s">
        <v>337</v>
      </c>
      <c r="D722" s="20" t="s">
        <v>6</v>
      </c>
      <c r="E722" s="20" t="s">
        <v>508</v>
      </c>
      <c r="F722" s="20" t="s">
        <v>104</v>
      </c>
      <c r="G722" s="40">
        <f>900+60</f>
        <v>960</v>
      </c>
      <c r="H722" s="40">
        <v>900</v>
      </c>
      <c r="I722" s="40">
        <v>900</v>
      </c>
      <c r="J722" s="1"/>
    </row>
    <row r="723" spans="1:10" ht="78.75" outlineLevel="6">
      <c r="A723" s="18" t="s">
        <v>509</v>
      </c>
      <c r="B723" s="19" t="s">
        <v>470</v>
      </c>
      <c r="C723" s="20" t="s">
        <v>337</v>
      </c>
      <c r="D723" s="20" t="s">
        <v>6</v>
      </c>
      <c r="E723" s="20" t="s">
        <v>510</v>
      </c>
      <c r="F723" s="20" t="s">
        <v>4</v>
      </c>
      <c r="G723" s="40">
        <f>G724</f>
        <v>1648.4</v>
      </c>
      <c r="H723" s="40">
        <f t="shared" ref="H723:I723" si="348">H724</f>
        <v>0</v>
      </c>
      <c r="I723" s="40">
        <f t="shared" si="348"/>
        <v>0</v>
      </c>
      <c r="J723" s="1"/>
    </row>
    <row r="724" spans="1:10" ht="61.5" customHeight="1" outlineLevel="7">
      <c r="A724" s="18" t="s">
        <v>103</v>
      </c>
      <c r="B724" s="19" t="s">
        <v>470</v>
      </c>
      <c r="C724" s="20" t="s">
        <v>337</v>
      </c>
      <c r="D724" s="20" t="s">
        <v>6</v>
      </c>
      <c r="E724" s="20" t="s">
        <v>510</v>
      </c>
      <c r="F724" s="20" t="s">
        <v>104</v>
      </c>
      <c r="G724" s="40">
        <v>1648.4</v>
      </c>
      <c r="H724" s="40">
        <v>0</v>
      </c>
      <c r="I724" s="40">
        <v>0</v>
      </c>
      <c r="J724" s="1"/>
    </row>
    <row r="725" spans="1:10" ht="156" customHeight="1" outlineLevel="6">
      <c r="A725" s="18" t="s">
        <v>511</v>
      </c>
      <c r="B725" s="19" t="s">
        <v>470</v>
      </c>
      <c r="C725" s="20" t="s">
        <v>337</v>
      </c>
      <c r="D725" s="20" t="s">
        <v>6</v>
      </c>
      <c r="E725" s="20" t="s">
        <v>512</v>
      </c>
      <c r="F725" s="20" t="s">
        <v>4</v>
      </c>
      <c r="G725" s="40">
        <f>G726</f>
        <v>311181.20052000001</v>
      </c>
      <c r="H725" s="40">
        <f t="shared" ref="H725:I725" si="349">H726</f>
        <v>288046.40000000002</v>
      </c>
      <c r="I725" s="40">
        <f t="shared" si="349"/>
        <v>288046.40000000002</v>
      </c>
      <c r="J725" s="1"/>
    </row>
    <row r="726" spans="1:10" ht="64.5" customHeight="1" outlineLevel="7">
      <c r="A726" s="18" t="s">
        <v>103</v>
      </c>
      <c r="B726" s="19" t="s">
        <v>470</v>
      </c>
      <c r="C726" s="20" t="s">
        <v>337</v>
      </c>
      <c r="D726" s="20" t="s">
        <v>6</v>
      </c>
      <c r="E726" s="20" t="s">
        <v>512</v>
      </c>
      <c r="F726" s="20" t="s">
        <v>104</v>
      </c>
      <c r="G726" s="40">
        <f>288046.4+10067.6+4634.8+1810.9+2000+343.9+4277.60052</f>
        <v>311181.20052000001</v>
      </c>
      <c r="H726" s="40">
        <v>288046.40000000002</v>
      </c>
      <c r="I726" s="40">
        <v>288046.40000000002</v>
      </c>
      <c r="J726" s="1"/>
    </row>
    <row r="727" spans="1:10" ht="78.75" outlineLevel="6">
      <c r="A727" s="18" t="s">
        <v>509</v>
      </c>
      <c r="B727" s="19" t="s">
        <v>470</v>
      </c>
      <c r="C727" s="20" t="s">
        <v>337</v>
      </c>
      <c r="D727" s="20" t="s">
        <v>6</v>
      </c>
      <c r="E727" s="20" t="s">
        <v>513</v>
      </c>
      <c r="F727" s="20" t="s">
        <v>4</v>
      </c>
      <c r="G727" s="40">
        <f>G728</f>
        <v>246.3</v>
      </c>
      <c r="H727" s="40">
        <f t="shared" ref="H727:I727" si="350">H728</f>
        <v>0</v>
      </c>
      <c r="I727" s="40">
        <f t="shared" si="350"/>
        <v>0</v>
      </c>
      <c r="J727" s="1"/>
    </row>
    <row r="728" spans="1:10" ht="65.25" customHeight="1" outlineLevel="7">
      <c r="A728" s="18" t="s">
        <v>103</v>
      </c>
      <c r="B728" s="19" t="s">
        <v>470</v>
      </c>
      <c r="C728" s="20" t="s">
        <v>337</v>
      </c>
      <c r="D728" s="20" t="s">
        <v>6</v>
      </c>
      <c r="E728" s="20" t="s">
        <v>513</v>
      </c>
      <c r="F728" s="20" t="s">
        <v>104</v>
      </c>
      <c r="G728" s="40">
        <v>246.3</v>
      </c>
      <c r="H728" s="40">
        <v>0</v>
      </c>
      <c r="I728" s="40">
        <v>0</v>
      </c>
      <c r="J728" s="1"/>
    </row>
    <row r="729" spans="1:10" ht="47.25" outlineLevel="6">
      <c r="A729" s="18" t="s">
        <v>514</v>
      </c>
      <c r="B729" s="19" t="s">
        <v>470</v>
      </c>
      <c r="C729" s="20" t="s">
        <v>337</v>
      </c>
      <c r="D729" s="20" t="s">
        <v>6</v>
      </c>
      <c r="E729" s="20" t="s">
        <v>515</v>
      </c>
      <c r="F729" s="20" t="s">
        <v>4</v>
      </c>
      <c r="G729" s="40">
        <f>G730</f>
        <v>247071.6464</v>
      </c>
      <c r="H729" s="40">
        <f t="shared" ref="H729:I729" si="351">H730</f>
        <v>235748.9</v>
      </c>
      <c r="I729" s="40">
        <f t="shared" si="351"/>
        <v>235674.2</v>
      </c>
      <c r="J729" s="1"/>
    </row>
    <row r="730" spans="1:10" ht="68.25" customHeight="1" outlineLevel="7">
      <c r="A730" s="18" t="s">
        <v>103</v>
      </c>
      <c r="B730" s="19" t="s">
        <v>470</v>
      </c>
      <c r="C730" s="20" t="s">
        <v>337</v>
      </c>
      <c r="D730" s="20" t="s">
        <v>6</v>
      </c>
      <c r="E730" s="20" t="s">
        <v>515</v>
      </c>
      <c r="F730" s="20" t="s">
        <v>104</v>
      </c>
      <c r="G730" s="40">
        <f>235748.9+10923.6+227.9+171.2464</f>
        <v>247071.6464</v>
      </c>
      <c r="H730" s="40">
        <v>235748.9</v>
      </c>
      <c r="I730" s="40">
        <v>235674.2</v>
      </c>
      <c r="J730" s="1"/>
    </row>
    <row r="731" spans="1:10" ht="15.75" outlineLevel="2">
      <c r="A731" s="15" t="s">
        <v>516</v>
      </c>
      <c r="B731" s="16" t="s">
        <v>470</v>
      </c>
      <c r="C731" s="17" t="s">
        <v>337</v>
      </c>
      <c r="D731" s="17" t="s">
        <v>8</v>
      </c>
      <c r="E731" s="17" t="s">
        <v>3</v>
      </c>
      <c r="F731" s="17" t="s">
        <v>4</v>
      </c>
      <c r="G731" s="39">
        <f>G732</f>
        <v>773293.98758000007</v>
      </c>
      <c r="H731" s="39">
        <f t="shared" ref="H731:I731" si="352">H732</f>
        <v>685293.39999999991</v>
      </c>
      <c r="I731" s="39">
        <f t="shared" si="352"/>
        <v>689351</v>
      </c>
      <c r="J731" s="1"/>
    </row>
    <row r="732" spans="1:10" ht="47.25" outlineLevel="3">
      <c r="A732" s="18" t="s">
        <v>471</v>
      </c>
      <c r="B732" s="19" t="s">
        <v>470</v>
      </c>
      <c r="C732" s="20" t="s">
        <v>337</v>
      </c>
      <c r="D732" s="20" t="s">
        <v>8</v>
      </c>
      <c r="E732" s="20" t="s">
        <v>472</v>
      </c>
      <c r="F732" s="20" t="s">
        <v>4</v>
      </c>
      <c r="G732" s="40">
        <f>G733+G742+G766</f>
        <v>773293.98758000007</v>
      </c>
      <c r="H732" s="40">
        <f t="shared" ref="H732:I732" si="353">H733+H742+H766</f>
        <v>685293.39999999991</v>
      </c>
      <c r="I732" s="40">
        <f t="shared" si="353"/>
        <v>689351</v>
      </c>
      <c r="J732" s="1"/>
    </row>
    <row r="733" spans="1:10" ht="78.75" outlineLevel="4">
      <c r="A733" s="18" t="s">
        <v>200</v>
      </c>
      <c r="B733" s="19" t="s">
        <v>470</v>
      </c>
      <c r="C733" s="20" t="s">
        <v>337</v>
      </c>
      <c r="D733" s="20" t="s">
        <v>8</v>
      </c>
      <c r="E733" s="20" t="s">
        <v>517</v>
      </c>
      <c r="F733" s="20" t="s">
        <v>4</v>
      </c>
      <c r="G733" s="40">
        <f>G734+G739</f>
        <v>19384.400000000001</v>
      </c>
      <c r="H733" s="40">
        <f t="shared" ref="H733:I733" si="354">H734+H739</f>
        <v>0</v>
      </c>
      <c r="I733" s="40">
        <f t="shared" si="354"/>
        <v>0</v>
      </c>
      <c r="J733" s="1"/>
    </row>
    <row r="734" spans="1:10" ht="31.5" outlineLevel="5">
      <c r="A734" s="18" t="s">
        <v>518</v>
      </c>
      <c r="B734" s="19" t="s">
        <v>470</v>
      </c>
      <c r="C734" s="20" t="s">
        <v>337</v>
      </c>
      <c r="D734" s="20" t="s">
        <v>8</v>
      </c>
      <c r="E734" s="20" t="s">
        <v>519</v>
      </c>
      <c r="F734" s="20" t="s">
        <v>4</v>
      </c>
      <c r="G734" s="40">
        <f>G735+G737</f>
        <v>19220</v>
      </c>
      <c r="H734" s="40">
        <f t="shared" ref="H734:I734" si="355">H735+H737</f>
        <v>0</v>
      </c>
      <c r="I734" s="40">
        <f t="shared" si="355"/>
        <v>0</v>
      </c>
      <c r="J734" s="1"/>
    </row>
    <row r="735" spans="1:10" ht="65.25" customHeight="1" outlineLevel="6">
      <c r="A735" s="18" t="s">
        <v>520</v>
      </c>
      <c r="B735" s="19" t="s">
        <v>470</v>
      </c>
      <c r="C735" s="20" t="s">
        <v>337</v>
      </c>
      <c r="D735" s="20" t="s">
        <v>8</v>
      </c>
      <c r="E735" s="20" t="s">
        <v>521</v>
      </c>
      <c r="F735" s="20" t="s">
        <v>4</v>
      </c>
      <c r="G735" s="40">
        <f>G736</f>
        <v>1600.4</v>
      </c>
      <c r="H735" s="40">
        <f t="shared" ref="H735:I735" si="356">H736</f>
        <v>0</v>
      </c>
      <c r="I735" s="40">
        <f t="shared" si="356"/>
        <v>0</v>
      </c>
      <c r="J735" s="1"/>
    </row>
    <row r="736" spans="1:10" ht="63" customHeight="1" outlineLevel="7">
      <c r="A736" s="18" t="s">
        <v>103</v>
      </c>
      <c r="B736" s="19" t="s">
        <v>470</v>
      </c>
      <c r="C736" s="20" t="s">
        <v>337</v>
      </c>
      <c r="D736" s="20" t="s">
        <v>8</v>
      </c>
      <c r="E736" s="20" t="s">
        <v>521</v>
      </c>
      <c r="F736" s="20" t="s">
        <v>104</v>
      </c>
      <c r="G736" s="40">
        <v>1600.4</v>
      </c>
      <c r="H736" s="40">
        <v>0</v>
      </c>
      <c r="I736" s="40">
        <v>0</v>
      </c>
      <c r="J736" s="1"/>
    </row>
    <row r="737" spans="1:11" ht="31.5" outlineLevel="6">
      <c r="A737" s="18" t="s">
        <v>522</v>
      </c>
      <c r="B737" s="19" t="s">
        <v>470</v>
      </c>
      <c r="C737" s="20" t="s">
        <v>337</v>
      </c>
      <c r="D737" s="20" t="s">
        <v>8</v>
      </c>
      <c r="E737" s="20" t="s">
        <v>523</v>
      </c>
      <c r="F737" s="20" t="s">
        <v>4</v>
      </c>
      <c r="G737" s="40">
        <f>G738</f>
        <v>17619.599999999999</v>
      </c>
      <c r="H737" s="40">
        <f t="shared" ref="H737:I737" si="357">H738</f>
        <v>0</v>
      </c>
      <c r="I737" s="40">
        <f t="shared" si="357"/>
        <v>0</v>
      </c>
      <c r="J737" s="1"/>
    </row>
    <row r="738" spans="1:11" ht="63" customHeight="1" outlineLevel="7">
      <c r="A738" s="18" t="s">
        <v>103</v>
      </c>
      <c r="B738" s="19" t="s">
        <v>470</v>
      </c>
      <c r="C738" s="20" t="s">
        <v>337</v>
      </c>
      <c r="D738" s="20" t="s">
        <v>8</v>
      </c>
      <c r="E738" s="20" t="s">
        <v>523</v>
      </c>
      <c r="F738" s="20" t="s">
        <v>104</v>
      </c>
      <c r="G738" s="40">
        <v>17619.599999999999</v>
      </c>
      <c r="H738" s="40">
        <v>0</v>
      </c>
      <c r="I738" s="40">
        <v>0</v>
      </c>
      <c r="J738" s="1"/>
    </row>
    <row r="739" spans="1:11" ht="31.5" outlineLevel="5">
      <c r="A739" s="18" t="s">
        <v>524</v>
      </c>
      <c r="B739" s="19" t="s">
        <v>470</v>
      </c>
      <c r="C739" s="20" t="s">
        <v>337</v>
      </c>
      <c r="D739" s="20" t="s">
        <v>8</v>
      </c>
      <c r="E739" s="20" t="s">
        <v>525</v>
      </c>
      <c r="F739" s="20" t="s">
        <v>4</v>
      </c>
      <c r="G739" s="40">
        <f>G740</f>
        <v>164.4</v>
      </c>
      <c r="H739" s="40">
        <f t="shared" ref="H739:I740" si="358">H740</f>
        <v>0</v>
      </c>
      <c r="I739" s="40">
        <f t="shared" si="358"/>
        <v>0</v>
      </c>
      <c r="J739" s="1"/>
    </row>
    <row r="740" spans="1:11" ht="78.75" outlineLevel="6">
      <c r="A740" s="18" t="s">
        <v>526</v>
      </c>
      <c r="B740" s="19" t="s">
        <v>470</v>
      </c>
      <c r="C740" s="20" t="s">
        <v>337</v>
      </c>
      <c r="D740" s="20" t="s">
        <v>8</v>
      </c>
      <c r="E740" s="20" t="s">
        <v>527</v>
      </c>
      <c r="F740" s="20" t="s">
        <v>4</v>
      </c>
      <c r="G740" s="40">
        <f>G741</f>
        <v>164.4</v>
      </c>
      <c r="H740" s="40">
        <f t="shared" si="358"/>
        <v>0</v>
      </c>
      <c r="I740" s="40">
        <f t="shared" si="358"/>
        <v>0</v>
      </c>
      <c r="J740" s="1"/>
    </row>
    <row r="741" spans="1:11" ht="64.5" customHeight="1" outlineLevel="7">
      <c r="A741" s="18" t="s">
        <v>103</v>
      </c>
      <c r="B741" s="19" t="s">
        <v>470</v>
      </c>
      <c r="C741" s="20" t="s">
        <v>337</v>
      </c>
      <c r="D741" s="20" t="s">
        <v>8</v>
      </c>
      <c r="E741" s="20" t="s">
        <v>527</v>
      </c>
      <c r="F741" s="20" t="s">
        <v>104</v>
      </c>
      <c r="G741" s="40">
        <v>164.4</v>
      </c>
      <c r="H741" s="40">
        <v>0</v>
      </c>
      <c r="I741" s="40">
        <v>0</v>
      </c>
      <c r="J741" s="1"/>
    </row>
    <row r="742" spans="1:11" ht="47.25" outlineLevel="4">
      <c r="A742" s="18" t="s">
        <v>94</v>
      </c>
      <c r="B742" s="19" t="s">
        <v>470</v>
      </c>
      <c r="C742" s="20" t="s">
        <v>337</v>
      </c>
      <c r="D742" s="20" t="s">
        <v>8</v>
      </c>
      <c r="E742" s="20" t="s">
        <v>473</v>
      </c>
      <c r="F742" s="20" t="s">
        <v>4</v>
      </c>
      <c r="G742" s="40">
        <f>G743</f>
        <v>147875.40000000002</v>
      </c>
      <c r="H742" s="40">
        <f t="shared" ref="H742:I742" si="359">H743</f>
        <v>103032</v>
      </c>
      <c r="I742" s="40">
        <f t="shared" si="359"/>
        <v>104605.8</v>
      </c>
      <c r="J742" s="1"/>
    </row>
    <row r="743" spans="1:11" ht="63" outlineLevel="5">
      <c r="A743" s="18" t="s">
        <v>492</v>
      </c>
      <c r="B743" s="19" t="s">
        <v>470</v>
      </c>
      <c r="C743" s="20" t="s">
        <v>337</v>
      </c>
      <c r="D743" s="20" t="s">
        <v>8</v>
      </c>
      <c r="E743" s="20" t="s">
        <v>493</v>
      </c>
      <c r="F743" s="20" t="s">
        <v>4</v>
      </c>
      <c r="G743" s="40">
        <f>G744+G746+G748+G758+G760+G762+G756+G764+G750+G752+G754</f>
        <v>147875.40000000002</v>
      </c>
      <c r="H743" s="40">
        <f t="shared" ref="H743:I743" si="360">H744+H746+H748+H758+H760+H762</f>
        <v>103032</v>
      </c>
      <c r="I743" s="40">
        <f t="shared" si="360"/>
        <v>104605.8</v>
      </c>
      <c r="J743" s="1"/>
      <c r="K743" s="5"/>
    </row>
    <row r="744" spans="1:11" ht="78.75" outlineLevel="6">
      <c r="A744" s="18" t="s">
        <v>652</v>
      </c>
      <c r="B744" s="19" t="s">
        <v>470</v>
      </c>
      <c r="C744" s="20" t="s">
        <v>337</v>
      </c>
      <c r="D744" s="20" t="s">
        <v>8</v>
      </c>
      <c r="E744" s="20" t="s">
        <v>528</v>
      </c>
      <c r="F744" s="20" t="s">
        <v>4</v>
      </c>
      <c r="G744" s="40">
        <f>G745</f>
        <v>32852.300000000003</v>
      </c>
      <c r="H744" s="40">
        <f t="shared" ref="H744:I744" si="361">H745</f>
        <v>34997.800000000003</v>
      </c>
      <c r="I744" s="40">
        <f t="shared" si="361"/>
        <v>34997.800000000003</v>
      </c>
      <c r="J744" s="1"/>
    </row>
    <row r="745" spans="1:11" ht="66.75" customHeight="1" outlineLevel="7">
      <c r="A745" s="18" t="s">
        <v>103</v>
      </c>
      <c r="B745" s="19" t="s">
        <v>470</v>
      </c>
      <c r="C745" s="20" t="s">
        <v>337</v>
      </c>
      <c r="D745" s="20" t="s">
        <v>8</v>
      </c>
      <c r="E745" s="20" t="s">
        <v>528</v>
      </c>
      <c r="F745" s="20" t="s">
        <v>104</v>
      </c>
      <c r="G745" s="40">
        <f>34997.8-750-1395.5</f>
        <v>32852.300000000003</v>
      </c>
      <c r="H745" s="40">
        <v>34997.800000000003</v>
      </c>
      <c r="I745" s="40">
        <v>34997.800000000003</v>
      </c>
      <c r="J745" s="1"/>
    </row>
    <row r="746" spans="1:11" ht="126" outlineLevel="6">
      <c r="A746" s="18" t="s">
        <v>529</v>
      </c>
      <c r="B746" s="19" t="s">
        <v>470</v>
      </c>
      <c r="C746" s="20" t="s">
        <v>337</v>
      </c>
      <c r="D746" s="20" t="s">
        <v>8</v>
      </c>
      <c r="E746" s="20" t="s">
        <v>530</v>
      </c>
      <c r="F746" s="20" t="s">
        <v>4</v>
      </c>
      <c r="G746" s="40">
        <f>G747</f>
        <v>646</v>
      </c>
      <c r="H746" s="40">
        <f t="shared" ref="H746:I746" si="362">H747</f>
        <v>647</v>
      </c>
      <c r="I746" s="40">
        <f t="shared" si="362"/>
        <v>720</v>
      </c>
      <c r="J746" s="1"/>
    </row>
    <row r="747" spans="1:11" ht="62.25" customHeight="1" outlineLevel="7">
      <c r="A747" s="18" t="s">
        <v>103</v>
      </c>
      <c r="B747" s="19" t="s">
        <v>470</v>
      </c>
      <c r="C747" s="20" t="s">
        <v>337</v>
      </c>
      <c r="D747" s="20" t="s">
        <v>8</v>
      </c>
      <c r="E747" s="20" t="s">
        <v>530</v>
      </c>
      <c r="F747" s="20" t="s">
        <v>104</v>
      </c>
      <c r="G747" s="40">
        <v>646</v>
      </c>
      <c r="H747" s="40">
        <v>647</v>
      </c>
      <c r="I747" s="40">
        <v>720</v>
      </c>
      <c r="J747" s="1"/>
    </row>
    <row r="748" spans="1:11" ht="110.25" outlineLevel="6">
      <c r="A748" s="18" t="s">
        <v>494</v>
      </c>
      <c r="B748" s="19" t="s">
        <v>470</v>
      </c>
      <c r="C748" s="20" t="s">
        <v>337</v>
      </c>
      <c r="D748" s="20" t="s">
        <v>8</v>
      </c>
      <c r="E748" s="20" t="s">
        <v>495</v>
      </c>
      <c r="F748" s="20" t="s">
        <v>4</v>
      </c>
      <c r="G748" s="40">
        <f>G749</f>
        <v>12246</v>
      </c>
      <c r="H748" s="40">
        <f t="shared" ref="H748:I748" si="363">H749</f>
        <v>12287</v>
      </c>
      <c r="I748" s="40">
        <f t="shared" si="363"/>
        <v>12287</v>
      </c>
      <c r="J748" s="1"/>
    </row>
    <row r="749" spans="1:11" ht="64.5" customHeight="1" outlineLevel="7">
      <c r="A749" s="18" t="s">
        <v>103</v>
      </c>
      <c r="B749" s="19" t="s">
        <v>470</v>
      </c>
      <c r="C749" s="20" t="s">
        <v>337</v>
      </c>
      <c r="D749" s="20" t="s">
        <v>8</v>
      </c>
      <c r="E749" s="20" t="s">
        <v>495</v>
      </c>
      <c r="F749" s="20" t="s">
        <v>104</v>
      </c>
      <c r="G749" s="40">
        <v>12246</v>
      </c>
      <c r="H749" s="40">
        <v>12287</v>
      </c>
      <c r="I749" s="40">
        <v>12287</v>
      </c>
      <c r="J749" s="1"/>
    </row>
    <row r="750" spans="1:11" ht="111.75" customHeight="1" outlineLevel="7">
      <c r="A750" s="21" t="s">
        <v>754</v>
      </c>
      <c r="B750" s="22" t="s">
        <v>470</v>
      </c>
      <c r="C750" s="20" t="s">
        <v>337</v>
      </c>
      <c r="D750" s="20" t="s">
        <v>8</v>
      </c>
      <c r="E750" s="20" t="s">
        <v>751</v>
      </c>
      <c r="F750" s="20" t="s">
        <v>4</v>
      </c>
      <c r="G750" s="40">
        <f>G751</f>
        <v>500</v>
      </c>
      <c r="H750" s="40">
        <f t="shared" ref="H750:I750" si="364">H751</f>
        <v>0</v>
      </c>
      <c r="I750" s="40">
        <f t="shared" si="364"/>
        <v>0</v>
      </c>
      <c r="J750" s="1"/>
    </row>
    <row r="751" spans="1:11" ht="65.25" customHeight="1" outlineLevel="7">
      <c r="A751" s="18" t="s">
        <v>103</v>
      </c>
      <c r="B751" s="19" t="s">
        <v>470</v>
      </c>
      <c r="C751" s="20" t="s">
        <v>337</v>
      </c>
      <c r="D751" s="20" t="s">
        <v>8</v>
      </c>
      <c r="E751" s="20" t="s">
        <v>751</v>
      </c>
      <c r="F751" s="20" t="s">
        <v>104</v>
      </c>
      <c r="G751" s="40">
        <v>500</v>
      </c>
      <c r="H751" s="40">
        <v>0</v>
      </c>
      <c r="I751" s="40">
        <v>0</v>
      </c>
      <c r="J751" s="1"/>
    </row>
    <row r="752" spans="1:11" ht="162.75" customHeight="1" outlineLevel="7">
      <c r="A752" s="21" t="s">
        <v>755</v>
      </c>
      <c r="B752" s="22" t="s">
        <v>470</v>
      </c>
      <c r="C752" s="20" t="s">
        <v>337</v>
      </c>
      <c r="D752" s="20" t="s">
        <v>8</v>
      </c>
      <c r="E752" s="20" t="s">
        <v>752</v>
      </c>
      <c r="F752" s="20" t="s">
        <v>4</v>
      </c>
      <c r="G752" s="40">
        <f>G753</f>
        <v>400</v>
      </c>
      <c r="H752" s="40">
        <f t="shared" ref="H752:I752" si="365">H753</f>
        <v>0</v>
      </c>
      <c r="I752" s="40">
        <f t="shared" si="365"/>
        <v>0</v>
      </c>
      <c r="J752" s="1"/>
    </row>
    <row r="753" spans="1:10" ht="70.5" customHeight="1" outlineLevel="7">
      <c r="A753" s="18" t="s">
        <v>103</v>
      </c>
      <c r="B753" s="19" t="s">
        <v>470</v>
      </c>
      <c r="C753" s="20" t="s">
        <v>337</v>
      </c>
      <c r="D753" s="20" t="s">
        <v>8</v>
      </c>
      <c r="E753" s="20" t="s">
        <v>752</v>
      </c>
      <c r="F753" s="20" t="s">
        <v>104</v>
      </c>
      <c r="G753" s="40">
        <v>400</v>
      </c>
      <c r="H753" s="40">
        <v>0</v>
      </c>
      <c r="I753" s="40">
        <v>0</v>
      </c>
      <c r="J753" s="1"/>
    </row>
    <row r="754" spans="1:10" ht="96.75" customHeight="1" outlineLevel="7">
      <c r="A754" s="21" t="s">
        <v>756</v>
      </c>
      <c r="B754" s="22" t="s">
        <v>470</v>
      </c>
      <c r="C754" s="20" t="s">
        <v>337</v>
      </c>
      <c r="D754" s="20" t="s">
        <v>8</v>
      </c>
      <c r="E754" s="20" t="s">
        <v>753</v>
      </c>
      <c r="F754" s="20" t="s">
        <v>4</v>
      </c>
      <c r="G754" s="40">
        <f>G755</f>
        <v>100</v>
      </c>
      <c r="H754" s="40">
        <f t="shared" ref="H754:I754" si="366">H755</f>
        <v>0</v>
      </c>
      <c r="I754" s="40">
        <f t="shared" si="366"/>
        <v>0</v>
      </c>
      <c r="J754" s="1"/>
    </row>
    <row r="755" spans="1:10" ht="39" customHeight="1" outlineLevel="7">
      <c r="A755" s="18" t="s">
        <v>42</v>
      </c>
      <c r="B755" s="19" t="s">
        <v>470</v>
      </c>
      <c r="C755" s="20" t="s">
        <v>337</v>
      </c>
      <c r="D755" s="20" t="s">
        <v>8</v>
      </c>
      <c r="E755" s="20" t="s">
        <v>753</v>
      </c>
      <c r="F755" s="19">
        <v>300</v>
      </c>
      <c r="G755" s="40">
        <v>100</v>
      </c>
      <c r="H755" s="40">
        <v>0</v>
      </c>
      <c r="I755" s="40">
        <v>0</v>
      </c>
      <c r="J755" s="1"/>
    </row>
    <row r="756" spans="1:10" ht="50.25" customHeight="1" outlineLevel="7">
      <c r="A756" s="21" t="s">
        <v>742</v>
      </c>
      <c r="B756" s="22" t="s">
        <v>470</v>
      </c>
      <c r="C756" s="20" t="s">
        <v>337</v>
      </c>
      <c r="D756" s="20" t="s">
        <v>8</v>
      </c>
      <c r="E756" s="19" t="s">
        <v>741</v>
      </c>
      <c r="F756" s="20" t="s">
        <v>4</v>
      </c>
      <c r="G756" s="40">
        <f>G757</f>
        <v>43636.5</v>
      </c>
      <c r="H756" s="40">
        <f t="shared" ref="H756:I756" si="367">H757</f>
        <v>0</v>
      </c>
      <c r="I756" s="40">
        <f t="shared" si="367"/>
        <v>0</v>
      </c>
      <c r="J756" s="1"/>
    </row>
    <row r="757" spans="1:10" ht="66" customHeight="1" outlineLevel="7">
      <c r="A757" s="18" t="s">
        <v>103</v>
      </c>
      <c r="B757" s="19" t="s">
        <v>470</v>
      </c>
      <c r="C757" s="20" t="s">
        <v>337</v>
      </c>
      <c r="D757" s="20" t="s">
        <v>8</v>
      </c>
      <c r="E757" s="19" t="s">
        <v>741</v>
      </c>
      <c r="F757" s="20" t="s">
        <v>104</v>
      </c>
      <c r="G757" s="40">
        <v>43636.5</v>
      </c>
      <c r="H757" s="40">
        <v>0</v>
      </c>
      <c r="I757" s="40">
        <v>0</v>
      </c>
      <c r="J757" s="1"/>
    </row>
    <row r="758" spans="1:10" ht="78.75" outlineLevel="6">
      <c r="A758" s="18" t="s">
        <v>531</v>
      </c>
      <c r="B758" s="19" t="s">
        <v>470</v>
      </c>
      <c r="C758" s="20" t="s">
        <v>337</v>
      </c>
      <c r="D758" s="20" t="s">
        <v>8</v>
      </c>
      <c r="E758" s="20" t="s">
        <v>532</v>
      </c>
      <c r="F758" s="20" t="s">
        <v>4</v>
      </c>
      <c r="G758" s="40">
        <f>G759</f>
        <v>53270.900000000009</v>
      </c>
      <c r="H758" s="40">
        <f t="shared" ref="H758:I758" si="368">H759</f>
        <v>53167</v>
      </c>
      <c r="I758" s="40">
        <f t="shared" si="368"/>
        <v>54657.100000000006</v>
      </c>
      <c r="J758" s="1"/>
    </row>
    <row r="759" spans="1:10" ht="63.75" customHeight="1" outlineLevel="7">
      <c r="A759" s="18" t="s">
        <v>103</v>
      </c>
      <c r="B759" s="19" t="s">
        <v>470</v>
      </c>
      <c r="C759" s="20" t="s">
        <v>337</v>
      </c>
      <c r="D759" s="20" t="s">
        <v>8</v>
      </c>
      <c r="E759" s="20" t="s">
        <v>532</v>
      </c>
      <c r="F759" s="20" t="s">
        <v>104</v>
      </c>
      <c r="G759" s="40">
        <f>52173.3+1031.8+65.8</f>
        <v>53270.900000000009</v>
      </c>
      <c r="H759" s="40">
        <v>53167</v>
      </c>
      <c r="I759" s="40">
        <f>54773.3-109.2-7</f>
        <v>54657.100000000006</v>
      </c>
      <c r="J759" s="1"/>
    </row>
    <row r="760" spans="1:10" ht="94.5" outlineLevel="6">
      <c r="A760" s="18" t="s">
        <v>533</v>
      </c>
      <c r="B760" s="19" t="s">
        <v>470</v>
      </c>
      <c r="C760" s="20" t="s">
        <v>337</v>
      </c>
      <c r="D760" s="20" t="s">
        <v>8</v>
      </c>
      <c r="E760" s="20" t="s">
        <v>534</v>
      </c>
      <c r="F760" s="20" t="s">
        <v>4</v>
      </c>
      <c r="G760" s="40">
        <f>G761</f>
        <v>97.1</v>
      </c>
      <c r="H760" s="40">
        <f t="shared" ref="H760:I760" si="369">H761</f>
        <v>97.2</v>
      </c>
      <c r="I760" s="40">
        <f t="shared" si="369"/>
        <v>107.9</v>
      </c>
      <c r="J760" s="1"/>
    </row>
    <row r="761" spans="1:10" ht="66" customHeight="1" outlineLevel="7">
      <c r="A761" s="18" t="s">
        <v>103</v>
      </c>
      <c r="B761" s="19" t="s">
        <v>470</v>
      </c>
      <c r="C761" s="20" t="s">
        <v>337</v>
      </c>
      <c r="D761" s="20" t="s">
        <v>8</v>
      </c>
      <c r="E761" s="20" t="s">
        <v>534</v>
      </c>
      <c r="F761" s="20" t="s">
        <v>104</v>
      </c>
      <c r="G761" s="40">
        <v>97.1</v>
      </c>
      <c r="H761" s="40">
        <v>97.2</v>
      </c>
      <c r="I761" s="40">
        <v>107.9</v>
      </c>
      <c r="J761" s="1"/>
    </row>
    <row r="762" spans="1:10" ht="78.75" outlineLevel="6">
      <c r="A762" s="18" t="s">
        <v>496</v>
      </c>
      <c r="B762" s="19" t="s">
        <v>470</v>
      </c>
      <c r="C762" s="20" t="s">
        <v>337</v>
      </c>
      <c r="D762" s="20" t="s">
        <v>8</v>
      </c>
      <c r="E762" s="20" t="s">
        <v>497</v>
      </c>
      <c r="F762" s="20" t="s">
        <v>4</v>
      </c>
      <c r="G762" s="40">
        <f>G763</f>
        <v>1829.9</v>
      </c>
      <c r="H762" s="40">
        <f t="shared" ref="H762:I762" si="370">H763</f>
        <v>1836</v>
      </c>
      <c r="I762" s="40">
        <f t="shared" si="370"/>
        <v>1836</v>
      </c>
      <c r="J762" s="1"/>
    </row>
    <row r="763" spans="1:10" ht="63.75" customHeight="1" outlineLevel="7">
      <c r="A763" s="18" t="s">
        <v>103</v>
      </c>
      <c r="B763" s="19" t="s">
        <v>470</v>
      </c>
      <c r="C763" s="20" t="s">
        <v>337</v>
      </c>
      <c r="D763" s="20" t="s">
        <v>8</v>
      </c>
      <c r="E763" s="20" t="s">
        <v>497</v>
      </c>
      <c r="F763" s="20" t="s">
        <v>104</v>
      </c>
      <c r="G763" s="40">
        <v>1829.9</v>
      </c>
      <c r="H763" s="40">
        <v>1836</v>
      </c>
      <c r="I763" s="40">
        <v>1836</v>
      </c>
      <c r="J763" s="1"/>
    </row>
    <row r="764" spans="1:10" ht="75" customHeight="1" outlineLevel="7">
      <c r="A764" s="21" t="s">
        <v>742</v>
      </c>
      <c r="B764" s="22" t="s">
        <v>470</v>
      </c>
      <c r="C764" s="20" t="s">
        <v>337</v>
      </c>
      <c r="D764" s="20" t="s">
        <v>8</v>
      </c>
      <c r="E764" s="19" t="s">
        <v>746</v>
      </c>
      <c r="F764" s="20" t="s">
        <v>4</v>
      </c>
      <c r="G764" s="40">
        <f>G765</f>
        <v>2296.6999999999998</v>
      </c>
      <c r="H764" s="40">
        <f t="shared" ref="H764:I764" si="371">H765</f>
        <v>0</v>
      </c>
      <c r="I764" s="40">
        <f t="shared" si="371"/>
        <v>0</v>
      </c>
      <c r="J764" s="1"/>
    </row>
    <row r="765" spans="1:10" ht="100.5" customHeight="1" outlineLevel="7">
      <c r="A765" s="18" t="s">
        <v>103</v>
      </c>
      <c r="B765" s="19" t="s">
        <v>470</v>
      </c>
      <c r="C765" s="20" t="s">
        <v>337</v>
      </c>
      <c r="D765" s="20" t="s">
        <v>8</v>
      </c>
      <c r="E765" s="19" t="s">
        <v>746</v>
      </c>
      <c r="F765" s="20" t="s">
        <v>104</v>
      </c>
      <c r="G765" s="40">
        <v>2296.6999999999998</v>
      </c>
      <c r="H765" s="40">
        <v>0</v>
      </c>
      <c r="I765" s="40">
        <v>0</v>
      </c>
      <c r="J765" s="1"/>
    </row>
    <row r="766" spans="1:10" ht="31.5" outlineLevel="4">
      <c r="A766" s="18" t="s">
        <v>11</v>
      </c>
      <c r="B766" s="19" t="s">
        <v>470</v>
      </c>
      <c r="C766" s="20" t="s">
        <v>337</v>
      </c>
      <c r="D766" s="20" t="s">
        <v>8</v>
      </c>
      <c r="E766" s="20" t="s">
        <v>498</v>
      </c>
      <c r="F766" s="20" t="s">
        <v>4</v>
      </c>
      <c r="G766" s="40">
        <f>G767</f>
        <v>606034.18758000003</v>
      </c>
      <c r="H766" s="40">
        <f t="shared" ref="H766:I766" si="372">H767</f>
        <v>582261.39999999991</v>
      </c>
      <c r="I766" s="40">
        <f t="shared" si="372"/>
        <v>584745.19999999995</v>
      </c>
      <c r="J766" s="1"/>
    </row>
    <row r="767" spans="1:10" ht="94.5" outlineLevel="5">
      <c r="A767" s="18" t="s">
        <v>535</v>
      </c>
      <c r="B767" s="19" t="s">
        <v>470</v>
      </c>
      <c r="C767" s="20" t="s">
        <v>337</v>
      </c>
      <c r="D767" s="20" t="s">
        <v>8</v>
      </c>
      <c r="E767" s="20" t="s">
        <v>536</v>
      </c>
      <c r="F767" s="20" t="s">
        <v>4</v>
      </c>
      <c r="G767" s="40">
        <f>G768+G770+G772+G774+G776+G778+G780+G782+G784+G788+G790+G786</f>
        <v>606034.18758000003</v>
      </c>
      <c r="H767" s="40">
        <f t="shared" ref="H767:I767" si="373">H768+H770+H772+H774+H776+H778+H780+H782+H784+H788+H790</f>
        <v>582261.39999999991</v>
      </c>
      <c r="I767" s="40">
        <f t="shared" si="373"/>
        <v>584745.19999999995</v>
      </c>
      <c r="J767" s="1"/>
    </row>
    <row r="768" spans="1:10" ht="78.75" customHeight="1" outlineLevel="6">
      <c r="A768" s="18" t="s">
        <v>537</v>
      </c>
      <c r="B768" s="19" t="s">
        <v>470</v>
      </c>
      <c r="C768" s="20" t="s">
        <v>337</v>
      </c>
      <c r="D768" s="20" t="s">
        <v>8</v>
      </c>
      <c r="E768" s="20" t="s">
        <v>538</v>
      </c>
      <c r="F768" s="20" t="s">
        <v>4</v>
      </c>
      <c r="G768" s="40">
        <f>G769</f>
        <v>30</v>
      </c>
      <c r="H768" s="40">
        <f t="shared" ref="H768:I768" si="374">H769</f>
        <v>0</v>
      </c>
      <c r="I768" s="40">
        <f t="shared" si="374"/>
        <v>30</v>
      </c>
      <c r="J768" s="1"/>
    </row>
    <row r="769" spans="1:10" ht="63.75" customHeight="1" outlineLevel="7">
      <c r="A769" s="18" t="s">
        <v>103</v>
      </c>
      <c r="B769" s="19" t="s">
        <v>470</v>
      </c>
      <c r="C769" s="20" t="s">
        <v>337</v>
      </c>
      <c r="D769" s="20" t="s">
        <v>8</v>
      </c>
      <c r="E769" s="20" t="s">
        <v>538</v>
      </c>
      <c r="F769" s="20" t="s">
        <v>104</v>
      </c>
      <c r="G769" s="40">
        <v>30</v>
      </c>
      <c r="H769" s="40">
        <v>0</v>
      </c>
      <c r="I769" s="40">
        <v>30</v>
      </c>
      <c r="J769" s="1"/>
    </row>
    <row r="770" spans="1:10" ht="31.5" outlineLevel="6">
      <c r="A770" s="18" t="s">
        <v>539</v>
      </c>
      <c r="B770" s="19" t="s">
        <v>470</v>
      </c>
      <c r="C770" s="20" t="s">
        <v>337</v>
      </c>
      <c r="D770" s="20" t="s">
        <v>8</v>
      </c>
      <c r="E770" s="20" t="s">
        <v>540</v>
      </c>
      <c r="F770" s="20" t="s">
        <v>4</v>
      </c>
      <c r="G770" s="40">
        <f>G771</f>
        <v>6753.7281000000003</v>
      </c>
      <c r="H770" s="40">
        <f t="shared" ref="H770:I770" si="375">H771</f>
        <v>2039.3</v>
      </c>
      <c r="I770" s="40">
        <f t="shared" si="375"/>
        <v>2039.3</v>
      </c>
      <c r="J770" s="1"/>
    </row>
    <row r="771" spans="1:10" ht="61.5" customHeight="1" outlineLevel="7">
      <c r="A771" s="18" t="s">
        <v>103</v>
      </c>
      <c r="B771" s="19" t="s">
        <v>470</v>
      </c>
      <c r="C771" s="20" t="s">
        <v>337</v>
      </c>
      <c r="D771" s="20" t="s">
        <v>8</v>
      </c>
      <c r="E771" s="20" t="s">
        <v>540</v>
      </c>
      <c r="F771" s="20" t="s">
        <v>104</v>
      </c>
      <c r="G771" s="40">
        <f>1648.7+4087+600+418.0281</f>
        <v>6753.7281000000003</v>
      </c>
      <c r="H771" s="40">
        <v>2039.3</v>
      </c>
      <c r="I771" s="40">
        <v>2039.3</v>
      </c>
      <c r="J771" s="1"/>
    </row>
    <row r="772" spans="1:10" ht="31.5" outlineLevel="6">
      <c r="A772" s="18" t="s">
        <v>503</v>
      </c>
      <c r="B772" s="19" t="s">
        <v>470</v>
      </c>
      <c r="C772" s="20" t="s">
        <v>337</v>
      </c>
      <c r="D772" s="20" t="s">
        <v>8</v>
      </c>
      <c r="E772" s="20" t="s">
        <v>541</v>
      </c>
      <c r="F772" s="20" t="s">
        <v>4</v>
      </c>
      <c r="G772" s="40">
        <f>G773</f>
        <v>0</v>
      </c>
      <c r="H772" s="40">
        <f t="shared" ref="H772:I772" si="376">H773</f>
        <v>600</v>
      </c>
      <c r="I772" s="40">
        <f t="shared" si="376"/>
        <v>600</v>
      </c>
      <c r="J772" s="1"/>
    </row>
    <row r="773" spans="1:10" ht="63" customHeight="1" outlineLevel="7">
      <c r="A773" s="18" t="s">
        <v>103</v>
      </c>
      <c r="B773" s="19" t="s">
        <v>470</v>
      </c>
      <c r="C773" s="20" t="s">
        <v>337</v>
      </c>
      <c r="D773" s="20" t="s">
        <v>8</v>
      </c>
      <c r="E773" s="20" t="s">
        <v>541</v>
      </c>
      <c r="F773" s="20" t="s">
        <v>104</v>
      </c>
      <c r="G773" s="40">
        <f>600-600</f>
        <v>0</v>
      </c>
      <c r="H773" s="40">
        <v>600</v>
      </c>
      <c r="I773" s="40">
        <v>600</v>
      </c>
      <c r="J773" s="1"/>
    </row>
    <row r="774" spans="1:10" ht="47.25" outlineLevel="6">
      <c r="A774" s="18" t="s">
        <v>542</v>
      </c>
      <c r="B774" s="19" t="s">
        <v>470</v>
      </c>
      <c r="C774" s="20" t="s">
        <v>337</v>
      </c>
      <c r="D774" s="20" t="s">
        <v>8</v>
      </c>
      <c r="E774" s="20" t="s">
        <v>543</v>
      </c>
      <c r="F774" s="20" t="s">
        <v>4</v>
      </c>
      <c r="G774" s="40">
        <f>G775</f>
        <v>200</v>
      </c>
      <c r="H774" s="40">
        <f t="shared" ref="H774:I774" si="377">H775</f>
        <v>200</v>
      </c>
      <c r="I774" s="40">
        <f t="shared" si="377"/>
        <v>200</v>
      </c>
      <c r="J774" s="1"/>
    </row>
    <row r="775" spans="1:10" ht="31.5" outlineLevel="7">
      <c r="A775" s="18" t="s">
        <v>42</v>
      </c>
      <c r="B775" s="19" t="s">
        <v>470</v>
      </c>
      <c r="C775" s="20" t="s">
        <v>337</v>
      </c>
      <c r="D775" s="20" t="s">
        <v>8</v>
      </c>
      <c r="E775" s="20" t="s">
        <v>543</v>
      </c>
      <c r="F775" s="20" t="s">
        <v>43</v>
      </c>
      <c r="G775" s="40">
        <v>200</v>
      </c>
      <c r="H775" s="40">
        <v>200</v>
      </c>
      <c r="I775" s="40">
        <v>200</v>
      </c>
      <c r="J775" s="1"/>
    </row>
    <row r="776" spans="1:10" ht="31.5" outlineLevel="6">
      <c r="A776" s="18" t="s">
        <v>544</v>
      </c>
      <c r="B776" s="19" t="s">
        <v>470</v>
      </c>
      <c r="C776" s="20" t="s">
        <v>337</v>
      </c>
      <c r="D776" s="20" t="s">
        <v>8</v>
      </c>
      <c r="E776" s="20" t="s">
        <v>545</v>
      </c>
      <c r="F776" s="20" t="s">
        <v>4</v>
      </c>
      <c r="G776" s="40">
        <f>G777</f>
        <v>100</v>
      </c>
      <c r="H776" s="40">
        <f t="shared" ref="H776:I776" si="378">H777</f>
        <v>100</v>
      </c>
      <c r="I776" s="40">
        <f t="shared" si="378"/>
        <v>100</v>
      </c>
      <c r="J776" s="1"/>
    </row>
    <row r="777" spans="1:10" ht="31.5" outlineLevel="7">
      <c r="A777" s="18" t="s">
        <v>42</v>
      </c>
      <c r="B777" s="19" t="s">
        <v>470</v>
      </c>
      <c r="C777" s="20" t="s">
        <v>337</v>
      </c>
      <c r="D777" s="20" t="s">
        <v>8</v>
      </c>
      <c r="E777" s="20" t="s">
        <v>545</v>
      </c>
      <c r="F777" s="20" t="s">
        <v>43</v>
      </c>
      <c r="G777" s="40">
        <v>100</v>
      </c>
      <c r="H777" s="40">
        <v>100</v>
      </c>
      <c r="I777" s="40">
        <v>100</v>
      </c>
      <c r="J777" s="1"/>
    </row>
    <row r="778" spans="1:10" ht="63" outlineLevel="6">
      <c r="A778" s="18" t="s">
        <v>546</v>
      </c>
      <c r="B778" s="19" t="s">
        <v>470</v>
      </c>
      <c r="C778" s="20" t="s">
        <v>337</v>
      </c>
      <c r="D778" s="20" t="s">
        <v>8</v>
      </c>
      <c r="E778" s="20" t="s">
        <v>547</v>
      </c>
      <c r="F778" s="20" t="s">
        <v>4</v>
      </c>
      <c r="G778" s="40">
        <f>G779</f>
        <v>200</v>
      </c>
      <c r="H778" s="40">
        <f t="shared" ref="H778:I778" si="379">H779</f>
        <v>200</v>
      </c>
      <c r="I778" s="40">
        <f t="shared" si="379"/>
        <v>200</v>
      </c>
      <c r="J778" s="1"/>
    </row>
    <row r="779" spans="1:10" ht="31.5" outlineLevel="7">
      <c r="A779" s="18" t="s">
        <v>42</v>
      </c>
      <c r="B779" s="19" t="s">
        <v>470</v>
      </c>
      <c r="C779" s="20" t="s">
        <v>337</v>
      </c>
      <c r="D779" s="20" t="s">
        <v>8</v>
      </c>
      <c r="E779" s="20" t="s">
        <v>547</v>
      </c>
      <c r="F779" s="20" t="s">
        <v>43</v>
      </c>
      <c r="G779" s="40">
        <v>200</v>
      </c>
      <c r="H779" s="40">
        <v>200</v>
      </c>
      <c r="I779" s="40">
        <v>200</v>
      </c>
      <c r="J779" s="1"/>
    </row>
    <row r="780" spans="1:10" ht="157.5" outlineLevel="6">
      <c r="A780" s="18" t="s">
        <v>507</v>
      </c>
      <c r="B780" s="19" t="s">
        <v>470</v>
      </c>
      <c r="C780" s="20" t="s">
        <v>337</v>
      </c>
      <c r="D780" s="20" t="s">
        <v>8</v>
      </c>
      <c r="E780" s="20" t="s">
        <v>548</v>
      </c>
      <c r="F780" s="20" t="s">
        <v>4</v>
      </c>
      <c r="G780" s="40">
        <f>G781</f>
        <v>1150</v>
      </c>
      <c r="H780" s="40">
        <f t="shared" ref="H780:I780" si="380">H781</f>
        <v>1000</v>
      </c>
      <c r="I780" s="40">
        <f t="shared" si="380"/>
        <v>1000</v>
      </c>
      <c r="J780" s="1"/>
    </row>
    <row r="781" spans="1:10" ht="51.6" customHeight="1" outlineLevel="7">
      <c r="A781" s="18" t="s">
        <v>103</v>
      </c>
      <c r="B781" s="19" t="s">
        <v>470</v>
      </c>
      <c r="C781" s="20" t="s">
        <v>337</v>
      </c>
      <c r="D781" s="20" t="s">
        <v>8</v>
      </c>
      <c r="E781" s="20" t="s">
        <v>548</v>
      </c>
      <c r="F781" s="20" t="s">
        <v>104</v>
      </c>
      <c r="G781" s="40">
        <f>1000+150</f>
        <v>1150</v>
      </c>
      <c r="H781" s="40">
        <v>1000</v>
      </c>
      <c r="I781" s="40">
        <v>1000</v>
      </c>
      <c r="J781" s="1"/>
    </row>
    <row r="782" spans="1:10" ht="78.75" outlineLevel="6">
      <c r="A782" s="18" t="s">
        <v>509</v>
      </c>
      <c r="B782" s="19" t="s">
        <v>470</v>
      </c>
      <c r="C782" s="20" t="s">
        <v>337</v>
      </c>
      <c r="D782" s="20" t="s">
        <v>8</v>
      </c>
      <c r="E782" s="20" t="s">
        <v>549</v>
      </c>
      <c r="F782" s="20" t="s">
        <v>4</v>
      </c>
      <c r="G782" s="40">
        <f>G783</f>
        <v>0</v>
      </c>
      <c r="H782" s="40">
        <f t="shared" ref="H782:I782" si="381">H783</f>
        <v>0</v>
      </c>
      <c r="I782" s="40">
        <f t="shared" si="381"/>
        <v>2134.8000000000002</v>
      </c>
      <c r="J782" s="1"/>
    </row>
    <row r="783" spans="1:10" ht="54" customHeight="1" outlineLevel="7">
      <c r="A783" s="18" t="s">
        <v>103</v>
      </c>
      <c r="B783" s="19" t="s">
        <v>470</v>
      </c>
      <c r="C783" s="20" t="s">
        <v>337</v>
      </c>
      <c r="D783" s="20" t="s">
        <v>8</v>
      </c>
      <c r="E783" s="20" t="s">
        <v>549</v>
      </c>
      <c r="F783" s="20" t="s">
        <v>104</v>
      </c>
      <c r="G783" s="40">
        <v>0</v>
      </c>
      <c r="H783" s="40">
        <v>0</v>
      </c>
      <c r="I783" s="40">
        <v>2134.8000000000002</v>
      </c>
      <c r="J783" s="1"/>
    </row>
    <row r="784" spans="1:10" ht="158.25" customHeight="1" outlineLevel="6">
      <c r="A784" s="18" t="s">
        <v>511</v>
      </c>
      <c r="B784" s="19" t="s">
        <v>470</v>
      </c>
      <c r="C784" s="20" t="s">
        <v>337</v>
      </c>
      <c r="D784" s="20" t="s">
        <v>8</v>
      </c>
      <c r="E784" s="20" t="s">
        <v>550</v>
      </c>
      <c r="F784" s="20" t="s">
        <v>4</v>
      </c>
      <c r="G784" s="40">
        <f>G785</f>
        <v>511119.09947999998</v>
      </c>
      <c r="H784" s="40">
        <f t="shared" ref="H784:I784" si="382">H785</f>
        <v>489386.6</v>
      </c>
      <c r="I784" s="40">
        <f t="shared" si="382"/>
        <v>489386.6</v>
      </c>
      <c r="J784" s="1"/>
    </row>
    <row r="785" spans="1:10" ht="64.5" customHeight="1" outlineLevel="7">
      <c r="A785" s="18" t="s">
        <v>103</v>
      </c>
      <c r="B785" s="19" t="s">
        <v>470</v>
      </c>
      <c r="C785" s="20" t="s">
        <v>337</v>
      </c>
      <c r="D785" s="20" t="s">
        <v>8</v>
      </c>
      <c r="E785" s="20" t="s">
        <v>550</v>
      </c>
      <c r="F785" s="20" t="s">
        <v>104</v>
      </c>
      <c r="G785" s="40">
        <f>489049.6+14340.1+3000.3+7302.2+3157-2000+547.5-4277.60052</f>
        <v>511119.09947999998</v>
      </c>
      <c r="H785" s="40">
        <v>489386.6</v>
      </c>
      <c r="I785" s="40">
        <v>489386.6</v>
      </c>
      <c r="J785" s="1"/>
    </row>
    <row r="786" spans="1:10" ht="96" customHeight="1" outlineLevel="7">
      <c r="A786" s="30" t="s">
        <v>654</v>
      </c>
      <c r="B786" s="22" t="s">
        <v>470</v>
      </c>
      <c r="C786" s="20" t="s">
        <v>337</v>
      </c>
      <c r="D786" s="20" t="s">
        <v>8</v>
      </c>
      <c r="E786" s="20" t="s">
        <v>655</v>
      </c>
      <c r="F786" s="20" t="s">
        <v>4</v>
      </c>
      <c r="G786" s="40">
        <f>G787</f>
        <v>510.3</v>
      </c>
      <c r="H786" s="40">
        <f t="shared" ref="H786:I786" si="383">H787</f>
        <v>0</v>
      </c>
      <c r="I786" s="40">
        <f t="shared" si="383"/>
        <v>0</v>
      </c>
      <c r="J786" s="1"/>
    </row>
    <row r="787" spans="1:10" ht="64.5" customHeight="1" outlineLevel="7">
      <c r="A787" s="18" t="s">
        <v>103</v>
      </c>
      <c r="B787" s="19" t="s">
        <v>470</v>
      </c>
      <c r="C787" s="20" t="s">
        <v>337</v>
      </c>
      <c r="D787" s="20" t="s">
        <v>8</v>
      </c>
      <c r="E787" s="20" t="s">
        <v>655</v>
      </c>
      <c r="F787" s="20" t="s">
        <v>104</v>
      </c>
      <c r="G787" s="40">
        <v>510.3</v>
      </c>
      <c r="H787" s="40">
        <v>0</v>
      </c>
      <c r="I787" s="40">
        <v>0</v>
      </c>
      <c r="J787" s="1"/>
    </row>
    <row r="788" spans="1:10" ht="78.75" outlineLevel="6">
      <c r="A788" s="18" t="s">
        <v>509</v>
      </c>
      <c r="B788" s="19" t="s">
        <v>470</v>
      </c>
      <c r="C788" s="20" t="s">
        <v>337</v>
      </c>
      <c r="D788" s="20" t="s">
        <v>8</v>
      </c>
      <c r="E788" s="20" t="s">
        <v>551</v>
      </c>
      <c r="F788" s="20" t="s">
        <v>4</v>
      </c>
      <c r="G788" s="40">
        <f>G789</f>
        <v>0</v>
      </c>
      <c r="H788" s="40">
        <f t="shared" ref="H788:I788" si="384">H789</f>
        <v>0</v>
      </c>
      <c r="I788" s="40">
        <f t="shared" si="384"/>
        <v>319</v>
      </c>
      <c r="J788" s="1"/>
    </row>
    <row r="789" spans="1:10" ht="65.25" customHeight="1" outlineLevel="7">
      <c r="A789" s="18" t="s">
        <v>103</v>
      </c>
      <c r="B789" s="19" t="s">
        <v>470</v>
      </c>
      <c r="C789" s="20" t="s">
        <v>337</v>
      </c>
      <c r="D789" s="20" t="s">
        <v>8</v>
      </c>
      <c r="E789" s="20" t="s">
        <v>551</v>
      </c>
      <c r="F789" s="20" t="s">
        <v>104</v>
      </c>
      <c r="G789" s="40">
        <v>0</v>
      </c>
      <c r="H789" s="40">
        <v>0</v>
      </c>
      <c r="I789" s="40">
        <v>319</v>
      </c>
      <c r="J789" s="1"/>
    </row>
    <row r="790" spans="1:10" ht="47.25" outlineLevel="6">
      <c r="A790" s="18" t="s">
        <v>552</v>
      </c>
      <c r="B790" s="19" t="s">
        <v>470</v>
      </c>
      <c r="C790" s="20" t="s">
        <v>337</v>
      </c>
      <c r="D790" s="20" t="s">
        <v>8</v>
      </c>
      <c r="E790" s="20" t="s">
        <v>553</v>
      </c>
      <c r="F790" s="20" t="s">
        <v>4</v>
      </c>
      <c r="G790" s="40">
        <f>G791</f>
        <v>85971.06</v>
      </c>
      <c r="H790" s="40">
        <f t="shared" ref="H790:I790" si="385">H791</f>
        <v>88735.5</v>
      </c>
      <c r="I790" s="40">
        <f t="shared" si="385"/>
        <v>88735.5</v>
      </c>
      <c r="J790" s="1"/>
    </row>
    <row r="791" spans="1:10" ht="64.5" customHeight="1" outlineLevel="7">
      <c r="A791" s="18" t="s">
        <v>103</v>
      </c>
      <c r="B791" s="19" t="s">
        <v>470</v>
      </c>
      <c r="C791" s="20" t="s">
        <v>337</v>
      </c>
      <c r="D791" s="20" t="s">
        <v>8</v>
      </c>
      <c r="E791" s="20" t="s">
        <v>553</v>
      </c>
      <c r="F791" s="20" t="s">
        <v>104</v>
      </c>
      <c r="G791" s="40">
        <f>88735.5-387-2077.44-300</f>
        <v>85971.06</v>
      </c>
      <c r="H791" s="40">
        <v>88735.5</v>
      </c>
      <c r="I791" s="40">
        <v>88735.5</v>
      </c>
      <c r="J791" s="1"/>
    </row>
    <row r="792" spans="1:10" ht="31.5" outlineLevel="2">
      <c r="A792" s="15" t="s">
        <v>338</v>
      </c>
      <c r="B792" s="16" t="s">
        <v>470</v>
      </c>
      <c r="C792" s="17" t="s">
        <v>337</v>
      </c>
      <c r="D792" s="17" t="s">
        <v>81</v>
      </c>
      <c r="E792" s="17" t="s">
        <v>3</v>
      </c>
      <c r="F792" s="17" t="s">
        <v>4</v>
      </c>
      <c r="G792" s="39">
        <f>G793+G801</f>
        <v>37644.705470000001</v>
      </c>
      <c r="H792" s="39">
        <f t="shared" ref="H792:I792" si="386">H793+H801</f>
        <v>39382.400000000001</v>
      </c>
      <c r="I792" s="39">
        <f t="shared" si="386"/>
        <v>39536.699999999997</v>
      </c>
      <c r="J792" s="1"/>
    </row>
    <row r="793" spans="1:10" ht="78.75" outlineLevel="3">
      <c r="A793" s="18" t="s">
        <v>354</v>
      </c>
      <c r="B793" s="19" t="s">
        <v>470</v>
      </c>
      <c r="C793" s="20" t="s">
        <v>337</v>
      </c>
      <c r="D793" s="20" t="s">
        <v>81</v>
      </c>
      <c r="E793" s="20" t="s">
        <v>355</v>
      </c>
      <c r="F793" s="20" t="s">
        <v>4</v>
      </c>
      <c r="G793" s="40">
        <f>G794</f>
        <v>53.740000000000009</v>
      </c>
      <c r="H793" s="40">
        <f t="shared" ref="H793:I793" si="387">H794</f>
        <v>273</v>
      </c>
      <c r="I793" s="40">
        <f t="shared" si="387"/>
        <v>273</v>
      </c>
      <c r="J793" s="1"/>
    </row>
    <row r="794" spans="1:10" ht="31.5" outlineLevel="4">
      <c r="A794" s="18" t="s">
        <v>11</v>
      </c>
      <c r="B794" s="19" t="s">
        <v>470</v>
      </c>
      <c r="C794" s="20" t="s">
        <v>337</v>
      </c>
      <c r="D794" s="20" t="s">
        <v>81</v>
      </c>
      <c r="E794" s="20" t="s">
        <v>356</v>
      </c>
      <c r="F794" s="20" t="s">
        <v>4</v>
      </c>
      <c r="G794" s="40">
        <f>G795+G798</f>
        <v>53.740000000000009</v>
      </c>
      <c r="H794" s="40">
        <f t="shared" ref="H794:I794" si="388">H795+H798</f>
        <v>273</v>
      </c>
      <c r="I794" s="40">
        <f t="shared" si="388"/>
        <v>273</v>
      </c>
      <c r="J794" s="1"/>
    </row>
    <row r="795" spans="1:10" ht="94.5" outlineLevel="5">
      <c r="A795" s="18" t="s">
        <v>554</v>
      </c>
      <c r="B795" s="19" t="s">
        <v>470</v>
      </c>
      <c r="C795" s="20" t="s">
        <v>337</v>
      </c>
      <c r="D795" s="20" t="s">
        <v>81</v>
      </c>
      <c r="E795" s="20" t="s">
        <v>555</v>
      </c>
      <c r="F795" s="20" t="s">
        <v>4</v>
      </c>
      <c r="G795" s="40">
        <f>G796</f>
        <v>10</v>
      </c>
      <c r="H795" s="40">
        <f t="shared" ref="H795:I796" si="389">H796</f>
        <v>10</v>
      </c>
      <c r="I795" s="40">
        <f t="shared" si="389"/>
        <v>10</v>
      </c>
      <c r="J795" s="1"/>
    </row>
    <row r="796" spans="1:10" ht="63" outlineLevel="6">
      <c r="A796" s="18" t="s">
        <v>556</v>
      </c>
      <c r="B796" s="19" t="s">
        <v>470</v>
      </c>
      <c r="C796" s="20" t="s">
        <v>337</v>
      </c>
      <c r="D796" s="20" t="s">
        <v>81</v>
      </c>
      <c r="E796" s="20" t="s">
        <v>557</v>
      </c>
      <c r="F796" s="20" t="s">
        <v>4</v>
      </c>
      <c r="G796" s="40">
        <f>G797</f>
        <v>10</v>
      </c>
      <c r="H796" s="40">
        <f t="shared" si="389"/>
        <v>10</v>
      </c>
      <c r="I796" s="40">
        <f t="shared" si="389"/>
        <v>10</v>
      </c>
      <c r="J796" s="1"/>
    </row>
    <row r="797" spans="1:10" ht="47.45" customHeight="1" outlineLevel="7">
      <c r="A797" s="18" t="s">
        <v>103</v>
      </c>
      <c r="B797" s="19" t="s">
        <v>470</v>
      </c>
      <c r="C797" s="20" t="s">
        <v>337</v>
      </c>
      <c r="D797" s="20" t="s">
        <v>81</v>
      </c>
      <c r="E797" s="20" t="s">
        <v>557</v>
      </c>
      <c r="F797" s="20" t="s">
        <v>104</v>
      </c>
      <c r="G797" s="40">
        <v>10</v>
      </c>
      <c r="H797" s="40">
        <v>10</v>
      </c>
      <c r="I797" s="40">
        <v>10</v>
      </c>
      <c r="J797" s="1"/>
    </row>
    <row r="798" spans="1:10" ht="78.75" outlineLevel="5">
      <c r="A798" s="18" t="s">
        <v>357</v>
      </c>
      <c r="B798" s="19" t="s">
        <v>470</v>
      </c>
      <c r="C798" s="20" t="s">
        <v>337</v>
      </c>
      <c r="D798" s="20" t="s">
        <v>81</v>
      </c>
      <c r="E798" s="20" t="s">
        <v>358</v>
      </c>
      <c r="F798" s="20" t="s">
        <v>4</v>
      </c>
      <c r="G798" s="40">
        <f>G799</f>
        <v>43.740000000000009</v>
      </c>
      <c r="H798" s="40">
        <f t="shared" ref="H798:I799" si="390">H799</f>
        <v>263</v>
      </c>
      <c r="I798" s="40">
        <f t="shared" si="390"/>
        <v>263</v>
      </c>
      <c r="J798" s="1"/>
    </row>
    <row r="799" spans="1:10" ht="31.5" outlineLevel="6">
      <c r="A799" s="18" t="s">
        <v>359</v>
      </c>
      <c r="B799" s="19" t="s">
        <v>470</v>
      </c>
      <c r="C799" s="20" t="s">
        <v>337</v>
      </c>
      <c r="D799" s="20" t="s">
        <v>81</v>
      </c>
      <c r="E799" s="20" t="s">
        <v>360</v>
      </c>
      <c r="F799" s="20" t="s">
        <v>4</v>
      </c>
      <c r="G799" s="40">
        <f>G800</f>
        <v>43.740000000000009</v>
      </c>
      <c r="H799" s="40">
        <f t="shared" si="390"/>
        <v>263</v>
      </c>
      <c r="I799" s="40">
        <f t="shared" si="390"/>
        <v>263</v>
      </c>
      <c r="J799" s="1"/>
    </row>
    <row r="800" spans="1:10" ht="48.6" customHeight="1" outlineLevel="7">
      <c r="A800" s="18" t="s">
        <v>103</v>
      </c>
      <c r="B800" s="19" t="s">
        <v>470</v>
      </c>
      <c r="C800" s="20" t="s">
        <v>337</v>
      </c>
      <c r="D800" s="20" t="s">
        <v>81</v>
      </c>
      <c r="E800" s="20" t="s">
        <v>360</v>
      </c>
      <c r="F800" s="20" t="s">
        <v>104</v>
      </c>
      <c r="G800" s="40">
        <f>263-219.26</f>
        <v>43.740000000000009</v>
      </c>
      <c r="H800" s="40">
        <v>263</v>
      </c>
      <c r="I800" s="40">
        <v>263</v>
      </c>
      <c r="J800" s="1"/>
    </row>
    <row r="801" spans="1:10" ht="47.25" outlineLevel="3">
      <c r="A801" s="18" t="s">
        <v>471</v>
      </c>
      <c r="B801" s="19" t="s">
        <v>470</v>
      </c>
      <c r="C801" s="20" t="s">
        <v>337</v>
      </c>
      <c r="D801" s="20" t="s">
        <v>81</v>
      </c>
      <c r="E801" s="20" t="s">
        <v>472</v>
      </c>
      <c r="F801" s="20" t="s">
        <v>4</v>
      </c>
      <c r="G801" s="40">
        <f>G802+G810</f>
        <v>37590.965470000003</v>
      </c>
      <c r="H801" s="40">
        <f t="shared" ref="H801:I801" si="391">H802+H810</f>
        <v>39109.4</v>
      </c>
      <c r="I801" s="40">
        <f t="shared" si="391"/>
        <v>39263.699999999997</v>
      </c>
      <c r="J801" s="1"/>
    </row>
    <row r="802" spans="1:10" ht="47.25" outlineLevel="4">
      <c r="A802" s="18" t="s">
        <v>94</v>
      </c>
      <c r="B802" s="19" t="s">
        <v>470</v>
      </c>
      <c r="C802" s="20" t="s">
        <v>337</v>
      </c>
      <c r="D802" s="20" t="s">
        <v>81</v>
      </c>
      <c r="E802" s="20" t="s">
        <v>473</v>
      </c>
      <c r="F802" s="20" t="s">
        <v>4</v>
      </c>
      <c r="G802" s="40">
        <f>G803</f>
        <v>3491.8529999999996</v>
      </c>
      <c r="H802" s="40">
        <f t="shared" ref="H802:I803" si="392">H803</f>
        <v>2940</v>
      </c>
      <c r="I802" s="40">
        <f t="shared" si="392"/>
        <v>2940</v>
      </c>
      <c r="J802" s="1"/>
    </row>
    <row r="803" spans="1:10" ht="63" outlineLevel="5">
      <c r="A803" s="18" t="s">
        <v>492</v>
      </c>
      <c r="B803" s="19" t="s">
        <v>470</v>
      </c>
      <c r="C803" s="20" t="s">
        <v>337</v>
      </c>
      <c r="D803" s="20" t="s">
        <v>81</v>
      </c>
      <c r="E803" s="20" t="s">
        <v>493</v>
      </c>
      <c r="F803" s="20" t="s">
        <v>4</v>
      </c>
      <c r="G803" s="40">
        <f>G804+G806+G808</f>
        <v>3491.8529999999996</v>
      </c>
      <c r="H803" s="40">
        <f t="shared" si="392"/>
        <v>2940</v>
      </c>
      <c r="I803" s="40">
        <f t="shared" si="392"/>
        <v>2940</v>
      </c>
      <c r="J803" s="1"/>
    </row>
    <row r="804" spans="1:10" ht="192.75" customHeight="1" outlineLevel="6">
      <c r="A804" s="18" t="s">
        <v>558</v>
      </c>
      <c r="B804" s="19" t="s">
        <v>470</v>
      </c>
      <c r="C804" s="20" t="s">
        <v>337</v>
      </c>
      <c r="D804" s="20" t="s">
        <v>81</v>
      </c>
      <c r="E804" s="20" t="s">
        <v>559</v>
      </c>
      <c r="F804" s="20" t="s">
        <v>4</v>
      </c>
      <c r="G804" s="40">
        <f>G805</f>
        <v>3070.7999999999997</v>
      </c>
      <c r="H804" s="40">
        <f t="shared" ref="H804:I804" si="393">H805</f>
        <v>2940</v>
      </c>
      <c r="I804" s="40">
        <f t="shared" si="393"/>
        <v>2940</v>
      </c>
      <c r="J804" s="1"/>
    </row>
    <row r="805" spans="1:10" ht="66" customHeight="1" outlineLevel="7">
      <c r="A805" s="18" t="s">
        <v>103</v>
      </c>
      <c r="B805" s="19" t="s">
        <v>470</v>
      </c>
      <c r="C805" s="20" t="s">
        <v>337</v>
      </c>
      <c r="D805" s="20" t="s">
        <v>81</v>
      </c>
      <c r="E805" s="20" t="s">
        <v>559</v>
      </c>
      <c r="F805" s="20" t="s">
        <v>104</v>
      </c>
      <c r="G805" s="40">
        <f>2940+84.7+46.1</f>
        <v>3070.7999999999997</v>
      </c>
      <c r="H805" s="40">
        <v>2940</v>
      </c>
      <c r="I805" s="40">
        <v>2940</v>
      </c>
      <c r="J805" s="1"/>
    </row>
    <row r="806" spans="1:10" ht="51.75" customHeight="1" outlineLevel="7">
      <c r="A806" s="21" t="s">
        <v>742</v>
      </c>
      <c r="B806" s="19" t="s">
        <v>470</v>
      </c>
      <c r="C806" s="20" t="s">
        <v>337</v>
      </c>
      <c r="D806" s="20" t="s">
        <v>81</v>
      </c>
      <c r="E806" s="19" t="s">
        <v>741</v>
      </c>
      <c r="F806" s="20" t="s">
        <v>4</v>
      </c>
      <c r="G806" s="40">
        <f>G807</f>
        <v>400</v>
      </c>
      <c r="H806" s="40">
        <f t="shared" ref="H806:I806" si="394">H807</f>
        <v>0</v>
      </c>
      <c r="I806" s="40">
        <f t="shared" si="394"/>
        <v>0</v>
      </c>
      <c r="J806" s="1"/>
    </row>
    <row r="807" spans="1:10" ht="66" customHeight="1" outlineLevel="7">
      <c r="A807" s="18" t="s">
        <v>103</v>
      </c>
      <c r="B807" s="19" t="s">
        <v>470</v>
      </c>
      <c r="C807" s="20" t="s">
        <v>337</v>
      </c>
      <c r="D807" s="20" t="s">
        <v>81</v>
      </c>
      <c r="E807" s="19" t="s">
        <v>741</v>
      </c>
      <c r="F807" s="20" t="s">
        <v>104</v>
      </c>
      <c r="G807" s="40">
        <v>400</v>
      </c>
      <c r="H807" s="40">
        <v>0</v>
      </c>
      <c r="I807" s="40">
        <v>0</v>
      </c>
      <c r="J807" s="1"/>
    </row>
    <row r="808" spans="1:10" ht="54" customHeight="1" outlineLevel="7">
      <c r="A808" s="21" t="s">
        <v>742</v>
      </c>
      <c r="B808" s="19" t="s">
        <v>470</v>
      </c>
      <c r="C808" s="20" t="s">
        <v>337</v>
      </c>
      <c r="D808" s="20" t="s">
        <v>81</v>
      </c>
      <c r="E808" s="19" t="s">
        <v>746</v>
      </c>
      <c r="F808" s="20" t="s">
        <v>4</v>
      </c>
      <c r="G808" s="40">
        <f>G809</f>
        <v>21.053000000000001</v>
      </c>
      <c r="H808" s="40">
        <f t="shared" ref="H808:I808" si="395">H809</f>
        <v>0</v>
      </c>
      <c r="I808" s="40">
        <f t="shared" si="395"/>
        <v>0</v>
      </c>
      <c r="J808" s="1"/>
    </row>
    <row r="809" spans="1:10" ht="66" customHeight="1" outlineLevel="7">
      <c r="A809" s="18" t="s">
        <v>103</v>
      </c>
      <c r="B809" s="19" t="s">
        <v>470</v>
      </c>
      <c r="C809" s="20" t="s">
        <v>337</v>
      </c>
      <c r="D809" s="20" t="s">
        <v>81</v>
      </c>
      <c r="E809" s="19" t="s">
        <v>746</v>
      </c>
      <c r="F809" s="20" t="s">
        <v>104</v>
      </c>
      <c r="G809" s="40">
        <v>21.053000000000001</v>
      </c>
      <c r="H809" s="40">
        <v>0</v>
      </c>
      <c r="I809" s="40">
        <v>0</v>
      </c>
      <c r="J809" s="1"/>
    </row>
    <row r="810" spans="1:10" ht="31.5" outlineLevel="4">
      <c r="A810" s="18" t="s">
        <v>11</v>
      </c>
      <c r="B810" s="19" t="s">
        <v>470</v>
      </c>
      <c r="C810" s="20" t="s">
        <v>337</v>
      </c>
      <c r="D810" s="20" t="s">
        <v>81</v>
      </c>
      <c r="E810" s="20" t="s">
        <v>498</v>
      </c>
      <c r="F810" s="20" t="s">
        <v>4</v>
      </c>
      <c r="G810" s="40">
        <f>G811</f>
        <v>34099.11247</v>
      </c>
      <c r="H810" s="40">
        <f t="shared" ref="H810:I810" si="396">H811</f>
        <v>36169.4</v>
      </c>
      <c r="I810" s="40">
        <f t="shared" si="396"/>
        <v>36323.699999999997</v>
      </c>
      <c r="J810" s="1"/>
    </row>
    <row r="811" spans="1:10" ht="63" outlineLevel="5">
      <c r="A811" s="18" t="s">
        <v>560</v>
      </c>
      <c r="B811" s="19" t="s">
        <v>470</v>
      </c>
      <c r="C811" s="20" t="s">
        <v>337</v>
      </c>
      <c r="D811" s="20" t="s">
        <v>81</v>
      </c>
      <c r="E811" s="20" t="s">
        <v>561</v>
      </c>
      <c r="F811" s="20" t="s">
        <v>4</v>
      </c>
      <c r="G811" s="40">
        <f>G812+G814+G816</f>
        <v>34099.11247</v>
      </c>
      <c r="H811" s="40">
        <f t="shared" ref="H811:I811" si="397">H812+H814+H816</f>
        <v>36169.4</v>
      </c>
      <c r="I811" s="40">
        <f t="shared" si="397"/>
        <v>36323.699999999997</v>
      </c>
      <c r="J811" s="1"/>
    </row>
    <row r="812" spans="1:10" ht="78.75" customHeight="1" outlineLevel="6">
      <c r="A812" s="18" t="s">
        <v>562</v>
      </c>
      <c r="B812" s="19" t="s">
        <v>470</v>
      </c>
      <c r="C812" s="20" t="s">
        <v>337</v>
      </c>
      <c r="D812" s="20" t="s">
        <v>81</v>
      </c>
      <c r="E812" s="20" t="s">
        <v>563</v>
      </c>
      <c r="F812" s="20" t="s">
        <v>4</v>
      </c>
      <c r="G812" s="40">
        <f>G813</f>
        <v>3314.9654700000006</v>
      </c>
      <c r="H812" s="40">
        <f t="shared" ref="H812:I812" si="398">H813</f>
        <v>5283.6</v>
      </c>
      <c r="I812" s="40">
        <f t="shared" si="398"/>
        <v>5283.6</v>
      </c>
      <c r="J812" s="1"/>
    </row>
    <row r="813" spans="1:10" ht="67.5" customHeight="1" outlineLevel="7">
      <c r="A813" s="18" t="s">
        <v>103</v>
      </c>
      <c r="B813" s="19" t="s">
        <v>470</v>
      </c>
      <c r="C813" s="20" t="s">
        <v>337</v>
      </c>
      <c r="D813" s="20" t="s">
        <v>81</v>
      </c>
      <c r="E813" s="20" t="s">
        <v>563</v>
      </c>
      <c r="F813" s="20" t="s">
        <v>104</v>
      </c>
      <c r="G813" s="40">
        <f>5283.6-1500-418.0281-50.60643</f>
        <v>3314.9654700000006</v>
      </c>
      <c r="H813" s="40">
        <v>5283.6</v>
      </c>
      <c r="I813" s="40">
        <v>5283.6</v>
      </c>
      <c r="J813" s="1"/>
    </row>
    <row r="814" spans="1:10" ht="47.25" outlineLevel="6">
      <c r="A814" s="18" t="s">
        <v>564</v>
      </c>
      <c r="B814" s="19" t="s">
        <v>470</v>
      </c>
      <c r="C814" s="20" t="s">
        <v>337</v>
      </c>
      <c r="D814" s="20" t="s">
        <v>81</v>
      </c>
      <c r="E814" s="20" t="s">
        <v>565</v>
      </c>
      <c r="F814" s="20" t="s">
        <v>4</v>
      </c>
      <c r="G814" s="40">
        <f>G815</f>
        <v>0</v>
      </c>
      <c r="H814" s="40">
        <f t="shared" ref="H814:I814" si="399">H815</f>
        <v>90</v>
      </c>
      <c r="I814" s="40">
        <f t="shared" si="399"/>
        <v>0</v>
      </c>
      <c r="J814" s="1"/>
    </row>
    <row r="815" spans="1:10" ht="31.5" outlineLevel="7">
      <c r="A815" s="18" t="s">
        <v>42</v>
      </c>
      <c r="B815" s="19" t="s">
        <v>470</v>
      </c>
      <c r="C815" s="20" t="s">
        <v>337</v>
      </c>
      <c r="D815" s="20" t="s">
        <v>81</v>
      </c>
      <c r="E815" s="20" t="s">
        <v>565</v>
      </c>
      <c r="F815" s="20" t="s">
        <v>43</v>
      </c>
      <c r="G815" s="40">
        <v>0</v>
      </c>
      <c r="H815" s="40">
        <v>90</v>
      </c>
      <c r="I815" s="40">
        <v>0</v>
      </c>
      <c r="J815" s="1"/>
    </row>
    <row r="816" spans="1:10" ht="63" outlineLevel="6">
      <c r="A816" s="18" t="s">
        <v>349</v>
      </c>
      <c r="B816" s="19" t="s">
        <v>470</v>
      </c>
      <c r="C816" s="20" t="s">
        <v>337</v>
      </c>
      <c r="D816" s="20" t="s">
        <v>81</v>
      </c>
      <c r="E816" s="20" t="s">
        <v>566</v>
      </c>
      <c r="F816" s="20" t="s">
        <v>4</v>
      </c>
      <c r="G816" s="40">
        <f>G817</f>
        <v>30784.146999999997</v>
      </c>
      <c r="H816" s="40">
        <f t="shared" ref="H816:I816" si="400">H817</f>
        <v>30795.8</v>
      </c>
      <c r="I816" s="40">
        <f t="shared" si="400"/>
        <v>31040.1</v>
      </c>
      <c r="J816" s="1"/>
    </row>
    <row r="817" spans="1:10" ht="61.5" customHeight="1" outlineLevel="7">
      <c r="A817" s="18" t="s">
        <v>103</v>
      </c>
      <c r="B817" s="19" t="s">
        <v>470</v>
      </c>
      <c r="C817" s="20" t="s">
        <v>337</v>
      </c>
      <c r="D817" s="20" t="s">
        <v>81</v>
      </c>
      <c r="E817" s="20" t="s">
        <v>566</v>
      </c>
      <c r="F817" s="20" t="s">
        <v>104</v>
      </c>
      <c r="G817" s="40">
        <f>30954.2+12.6-1000+624.1+214.3-21.053</f>
        <v>30784.146999999997</v>
      </c>
      <c r="H817" s="40">
        <v>30795.8</v>
      </c>
      <c r="I817" s="40">
        <v>31040.1</v>
      </c>
      <c r="J817" s="1"/>
    </row>
    <row r="818" spans="1:10" ht="15.75" outlineLevel="2">
      <c r="A818" s="15" t="s">
        <v>567</v>
      </c>
      <c r="B818" s="16" t="s">
        <v>470</v>
      </c>
      <c r="C818" s="17" t="s">
        <v>337</v>
      </c>
      <c r="D818" s="17" t="s">
        <v>337</v>
      </c>
      <c r="E818" s="17" t="s">
        <v>3</v>
      </c>
      <c r="F818" s="17" t="s">
        <v>4</v>
      </c>
      <c r="G818" s="39">
        <f>G819</f>
        <v>41731.706430000006</v>
      </c>
      <c r="H818" s="39">
        <f t="shared" ref="H818:I818" si="401">H819</f>
        <v>31986.400000000001</v>
      </c>
      <c r="I818" s="39">
        <f t="shared" si="401"/>
        <v>27405.7</v>
      </c>
      <c r="J818" s="1"/>
    </row>
    <row r="819" spans="1:10" ht="47.25" outlineLevel="3">
      <c r="A819" s="18" t="s">
        <v>471</v>
      </c>
      <c r="B819" s="19" t="s">
        <v>470</v>
      </c>
      <c r="C819" s="20" t="s">
        <v>337</v>
      </c>
      <c r="D819" s="20" t="s">
        <v>337</v>
      </c>
      <c r="E819" s="20" t="s">
        <v>472</v>
      </c>
      <c r="F819" s="20" t="s">
        <v>4</v>
      </c>
      <c r="G819" s="40">
        <f>G820+G837</f>
        <v>41731.706430000006</v>
      </c>
      <c r="H819" s="40">
        <f t="shared" ref="H819:I819" si="402">H820+H837</f>
        <v>31986.400000000001</v>
      </c>
      <c r="I819" s="40">
        <f t="shared" si="402"/>
        <v>27405.7</v>
      </c>
      <c r="J819" s="1"/>
    </row>
    <row r="820" spans="1:10" ht="47.25" outlineLevel="4">
      <c r="A820" s="18" t="s">
        <v>94</v>
      </c>
      <c r="B820" s="19" t="s">
        <v>470</v>
      </c>
      <c r="C820" s="20" t="s">
        <v>337</v>
      </c>
      <c r="D820" s="20" t="s">
        <v>337</v>
      </c>
      <c r="E820" s="20" t="s">
        <v>473</v>
      </c>
      <c r="F820" s="20" t="s">
        <v>4</v>
      </c>
      <c r="G820" s="40">
        <f>G821</f>
        <v>37951.906430000003</v>
      </c>
      <c r="H820" s="40">
        <f t="shared" ref="H820:I820" si="403">H821</f>
        <v>27405.7</v>
      </c>
      <c r="I820" s="40">
        <f t="shared" si="403"/>
        <v>27405.7</v>
      </c>
      <c r="J820" s="1"/>
    </row>
    <row r="821" spans="1:10" ht="63" outlineLevel="5">
      <c r="A821" s="18" t="s">
        <v>492</v>
      </c>
      <c r="B821" s="19" t="s">
        <v>470</v>
      </c>
      <c r="C821" s="20" t="s">
        <v>337</v>
      </c>
      <c r="D821" s="20" t="s">
        <v>337</v>
      </c>
      <c r="E821" s="20" t="s">
        <v>493</v>
      </c>
      <c r="F821" s="20" t="s">
        <v>4</v>
      </c>
      <c r="G821" s="40">
        <f>G822+G824+G827+G831+G833+G835+G829</f>
        <v>37951.906430000003</v>
      </c>
      <c r="H821" s="40">
        <f t="shared" ref="H821:I821" si="404">H822+H824+H827+H831+H833+H835</f>
        <v>27405.7</v>
      </c>
      <c r="I821" s="40">
        <f t="shared" si="404"/>
        <v>27405.7</v>
      </c>
      <c r="J821" s="1"/>
    </row>
    <row r="822" spans="1:10" ht="94.5" outlineLevel="6">
      <c r="A822" s="18" t="s">
        <v>568</v>
      </c>
      <c r="B822" s="19" t="s">
        <v>470</v>
      </c>
      <c r="C822" s="20" t="s">
        <v>337</v>
      </c>
      <c r="D822" s="20" t="s">
        <v>337</v>
      </c>
      <c r="E822" s="20" t="s">
        <v>569</v>
      </c>
      <c r="F822" s="20" t="s">
        <v>4</v>
      </c>
      <c r="G822" s="40">
        <f>G823</f>
        <v>5437.4</v>
      </c>
      <c r="H822" s="40">
        <f t="shared" ref="H822:I822" si="405">H823</f>
        <v>5437.4</v>
      </c>
      <c r="I822" s="40">
        <f t="shared" si="405"/>
        <v>5437.4</v>
      </c>
      <c r="J822" s="1"/>
    </row>
    <row r="823" spans="1:10" ht="51" customHeight="1" outlineLevel="7">
      <c r="A823" s="18" t="s">
        <v>103</v>
      </c>
      <c r="B823" s="19" t="s">
        <v>470</v>
      </c>
      <c r="C823" s="20" t="s">
        <v>337</v>
      </c>
      <c r="D823" s="20" t="s">
        <v>337</v>
      </c>
      <c r="E823" s="20" t="s">
        <v>569</v>
      </c>
      <c r="F823" s="20" t="s">
        <v>104</v>
      </c>
      <c r="G823" s="40">
        <v>5437.4</v>
      </c>
      <c r="H823" s="40">
        <v>5437.4</v>
      </c>
      <c r="I823" s="40">
        <v>5437.4</v>
      </c>
      <c r="J823" s="1"/>
    </row>
    <row r="824" spans="1:10" ht="78.75" outlineLevel="6">
      <c r="A824" s="18" t="s">
        <v>570</v>
      </c>
      <c r="B824" s="19" t="s">
        <v>470</v>
      </c>
      <c r="C824" s="20" t="s">
        <v>337</v>
      </c>
      <c r="D824" s="20" t="s">
        <v>337</v>
      </c>
      <c r="E824" s="20" t="s">
        <v>571</v>
      </c>
      <c r="F824" s="20" t="s">
        <v>4</v>
      </c>
      <c r="G824" s="40">
        <f>G825+G826</f>
        <v>7079.6</v>
      </c>
      <c r="H824" s="40">
        <f t="shared" ref="H824:I824" si="406">H825+H826</f>
        <v>7107.6</v>
      </c>
      <c r="I824" s="40">
        <f t="shared" si="406"/>
        <v>7107.6</v>
      </c>
      <c r="J824" s="1"/>
    </row>
    <row r="825" spans="1:10" ht="31.5" outlineLevel="7">
      <c r="A825" s="18" t="s">
        <v>42</v>
      </c>
      <c r="B825" s="19" t="s">
        <v>470</v>
      </c>
      <c r="C825" s="20" t="s">
        <v>337</v>
      </c>
      <c r="D825" s="20" t="s">
        <v>337</v>
      </c>
      <c r="E825" s="20" t="s">
        <v>571</v>
      </c>
      <c r="F825" s="20" t="s">
        <v>43</v>
      </c>
      <c r="G825" s="40">
        <f>382-25.6</f>
        <v>356.4</v>
      </c>
      <c r="H825" s="40">
        <v>382</v>
      </c>
      <c r="I825" s="40">
        <v>382</v>
      </c>
      <c r="J825" s="1"/>
    </row>
    <row r="826" spans="1:10" ht="46.9" customHeight="1" outlineLevel="7">
      <c r="A826" s="18" t="s">
        <v>103</v>
      </c>
      <c r="B826" s="19" t="s">
        <v>470</v>
      </c>
      <c r="C826" s="20" t="s">
        <v>337</v>
      </c>
      <c r="D826" s="20" t="s">
        <v>337</v>
      </c>
      <c r="E826" s="20" t="s">
        <v>571</v>
      </c>
      <c r="F826" s="20" t="s">
        <v>104</v>
      </c>
      <c r="G826" s="40">
        <f>6697.6+25.6</f>
        <v>6723.2000000000007</v>
      </c>
      <c r="H826" s="40">
        <v>6725.6</v>
      </c>
      <c r="I826" s="40">
        <v>6725.6</v>
      </c>
      <c r="J826" s="1"/>
    </row>
    <row r="827" spans="1:10" ht="110.25" outlineLevel="6">
      <c r="A827" s="18" t="s">
        <v>494</v>
      </c>
      <c r="B827" s="19" t="s">
        <v>470</v>
      </c>
      <c r="C827" s="20" t="s">
        <v>337</v>
      </c>
      <c r="D827" s="20" t="s">
        <v>337</v>
      </c>
      <c r="E827" s="20" t="s">
        <v>495</v>
      </c>
      <c r="F827" s="20" t="s">
        <v>4</v>
      </c>
      <c r="G827" s="40">
        <f>G828:H828</f>
        <v>13523.6</v>
      </c>
      <c r="H827" s="40">
        <f t="shared" ref="H827:I827" si="407">H828:I828</f>
        <v>4000</v>
      </c>
      <c r="I827" s="40">
        <f t="shared" si="407"/>
        <v>4000</v>
      </c>
      <c r="J827" s="1"/>
    </row>
    <row r="828" spans="1:10" ht="50.45" customHeight="1" outlineLevel="7">
      <c r="A828" s="18" t="s">
        <v>103</v>
      </c>
      <c r="B828" s="19" t="s">
        <v>470</v>
      </c>
      <c r="C828" s="20" t="s">
        <v>337</v>
      </c>
      <c r="D828" s="20" t="s">
        <v>337</v>
      </c>
      <c r="E828" s="20" t="s">
        <v>495</v>
      </c>
      <c r="F828" s="20" t="s">
        <v>104</v>
      </c>
      <c r="G828" s="40">
        <f>4000+9523.6</f>
        <v>13523.6</v>
      </c>
      <c r="H828" s="40">
        <v>4000</v>
      </c>
      <c r="I828" s="40">
        <v>4000</v>
      </c>
      <c r="J828" s="1"/>
    </row>
    <row r="829" spans="1:10" ht="84" customHeight="1" outlineLevel="7">
      <c r="A829" s="25" t="s">
        <v>770</v>
      </c>
      <c r="B829" s="19" t="s">
        <v>470</v>
      </c>
      <c r="C829" s="20" t="s">
        <v>337</v>
      </c>
      <c r="D829" s="20" t="s">
        <v>337</v>
      </c>
      <c r="E829" s="20" t="s">
        <v>771</v>
      </c>
      <c r="F829" s="20" t="s">
        <v>4</v>
      </c>
      <c r="G829" s="40">
        <f>G830</f>
        <v>1000</v>
      </c>
      <c r="H829" s="40">
        <f t="shared" ref="H829:I829" si="408">H830</f>
        <v>0</v>
      </c>
      <c r="I829" s="40">
        <f t="shared" si="408"/>
        <v>0</v>
      </c>
      <c r="J829" s="1"/>
    </row>
    <row r="830" spans="1:10" ht="50.45" customHeight="1" outlineLevel="7">
      <c r="A830" s="18" t="s">
        <v>103</v>
      </c>
      <c r="B830" s="19" t="s">
        <v>470</v>
      </c>
      <c r="C830" s="20" t="s">
        <v>337</v>
      </c>
      <c r="D830" s="20" t="s">
        <v>337</v>
      </c>
      <c r="E830" s="20" t="s">
        <v>771</v>
      </c>
      <c r="F830" s="20" t="s">
        <v>104</v>
      </c>
      <c r="G830" s="40">
        <v>1000</v>
      </c>
      <c r="H830" s="40">
        <v>0</v>
      </c>
      <c r="I830" s="40">
        <v>0</v>
      </c>
      <c r="J830" s="1"/>
    </row>
    <row r="831" spans="1:10" ht="63" outlineLevel="6">
      <c r="A831" s="18" t="s">
        <v>572</v>
      </c>
      <c r="B831" s="19" t="s">
        <v>470</v>
      </c>
      <c r="C831" s="20" t="s">
        <v>337</v>
      </c>
      <c r="D831" s="20" t="s">
        <v>337</v>
      </c>
      <c r="E831" s="20" t="s">
        <v>573</v>
      </c>
      <c r="F831" s="20" t="s">
        <v>4</v>
      </c>
      <c r="G831" s="40">
        <f>G832</f>
        <v>800</v>
      </c>
      <c r="H831" s="40">
        <f t="shared" ref="H831:I831" si="409">H832</f>
        <v>800</v>
      </c>
      <c r="I831" s="40">
        <f t="shared" si="409"/>
        <v>800</v>
      </c>
      <c r="J831" s="1"/>
    </row>
    <row r="832" spans="1:10" ht="63.75" customHeight="1" outlineLevel="7">
      <c r="A832" s="18" t="s">
        <v>103</v>
      </c>
      <c r="B832" s="19" t="s">
        <v>470</v>
      </c>
      <c r="C832" s="20" t="s">
        <v>337</v>
      </c>
      <c r="D832" s="20" t="s">
        <v>337</v>
      </c>
      <c r="E832" s="20" t="s">
        <v>573</v>
      </c>
      <c r="F832" s="20" t="s">
        <v>104</v>
      </c>
      <c r="G832" s="40">
        <v>800</v>
      </c>
      <c r="H832" s="40">
        <v>800</v>
      </c>
      <c r="I832" s="40">
        <v>800</v>
      </c>
      <c r="J832" s="1"/>
    </row>
    <row r="833" spans="1:10" ht="47.25" outlineLevel="6">
      <c r="A833" s="18" t="s">
        <v>574</v>
      </c>
      <c r="B833" s="19" t="s">
        <v>470</v>
      </c>
      <c r="C833" s="20" t="s">
        <v>337</v>
      </c>
      <c r="D833" s="20" t="s">
        <v>337</v>
      </c>
      <c r="E833" s="20" t="s">
        <v>575</v>
      </c>
      <c r="F833" s="20" t="s">
        <v>4</v>
      </c>
      <c r="G833" s="40">
        <f>G834</f>
        <v>8090.5064299999995</v>
      </c>
      <c r="H833" s="40">
        <f t="shared" ref="H833:I833" si="410">H834</f>
        <v>9463</v>
      </c>
      <c r="I833" s="40">
        <f t="shared" si="410"/>
        <v>9463</v>
      </c>
      <c r="J833" s="1"/>
    </row>
    <row r="834" spans="1:10" ht="48.6" customHeight="1" outlineLevel="7">
      <c r="A834" s="18" t="s">
        <v>103</v>
      </c>
      <c r="B834" s="19" t="s">
        <v>470</v>
      </c>
      <c r="C834" s="20" t="s">
        <v>337</v>
      </c>
      <c r="D834" s="20" t="s">
        <v>337</v>
      </c>
      <c r="E834" s="20" t="s">
        <v>575</v>
      </c>
      <c r="F834" s="20" t="s">
        <v>104</v>
      </c>
      <c r="G834" s="40">
        <f>9463-1423.1+50.60643</f>
        <v>8090.5064299999995</v>
      </c>
      <c r="H834" s="40">
        <v>9463</v>
      </c>
      <c r="I834" s="40">
        <v>9463</v>
      </c>
      <c r="J834" s="1"/>
    </row>
    <row r="835" spans="1:10" ht="65.45" customHeight="1" outlineLevel="6">
      <c r="A835" s="18" t="s">
        <v>496</v>
      </c>
      <c r="B835" s="19" t="s">
        <v>470</v>
      </c>
      <c r="C835" s="20" t="s">
        <v>337</v>
      </c>
      <c r="D835" s="20" t="s">
        <v>337</v>
      </c>
      <c r="E835" s="20" t="s">
        <v>497</v>
      </c>
      <c r="F835" s="20" t="s">
        <v>4</v>
      </c>
      <c r="G835" s="40">
        <f>G836</f>
        <v>2020.8</v>
      </c>
      <c r="H835" s="40">
        <f t="shared" ref="H835:I835" si="411">H836</f>
        <v>597.70000000000005</v>
      </c>
      <c r="I835" s="40">
        <f t="shared" si="411"/>
        <v>597.70000000000005</v>
      </c>
      <c r="J835" s="1"/>
    </row>
    <row r="836" spans="1:10" ht="49.9" customHeight="1" outlineLevel="7">
      <c r="A836" s="18" t="s">
        <v>103</v>
      </c>
      <c r="B836" s="19" t="s">
        <v>470</v>
      </c>
      <c r="C836" s="20" t="s">
        <v>337</v>
      </c>
      <c r="D836" s="20" t="s">
        <v>337</v>
      </c>
      <c r="E836" s="20" t="s">
        <v>497</v>
      </c>
      <c r="F836" s="20" t="s">
        <v>104</v>
      </c>
      <c r="G836" s="40">
        <f>597.7+1423.1</f>
        <v>2020.8</v>
      </c>
      <c r="H836" s="40">
        <v>597.70000000000005</v>
      </c>
      <c r="I836" s="40">
        <v>597.70000000000005</v>
      </c>
      <c r="J836" s="1"/>
    </row>
    <row r="837" spans="1:10" ht="31.5" outlineLevel="4">
      <c r="A837" s="18" t="s">
        <v>11</v>
      </c>
      <c r="B837" s="19" t="s">
        <v>470</v>
      </c>
      <c r="C837" s="20" t="s">
        <v>337</v>
      </c>
      <c r="D837" s="20" t="s">
        <v>337</v>
      </c>
      <c r="E837" s="20" t="s">
        <v>498</v>
      </c>
      <c r="F837" s="20" t="s">
        <v>4</v>
      </c>
      <c r="G837" s="40">
        <f>G838</f>
        <v>3779.8</v>
      </c>
      <c r="H837" s="40">
        <f t="shared" ref="H837:I837" si="412">H838</f>
        <v>4580.7</v>
      </c>
      <c r="I837" s="40">
        <f t="shared" si="412"/>
        <v>0</v>
      </c>
      <c r="J837" s="1"/>
    </row>
    <row r="838" spans="1:10" ht="47.25" outlineLevel="5">
      <c r="A838" s="18" t="s">
        <v>576</v>
      </c>
      <c r="B838" s="19" t="s">
        <v>470</v>
      </c>
      <c r="C838" s="20" t="s">
        <v>337</v>
      </c>
      <c r="D838" s="20" t="s">
        <v>337</v>
      </c>
      <c r="E838" s="20" t="s">
        <v>577</v>
      </c>
      <c r="F838" s="20" t="s">
        <v>4</v>
      </c>
      <c r="G838" s="40">
        <f>G839+G841</f>
        <v>3779.8</v>
      </c>
      <c r="H838" s="40">
        <f t="shared" ref="H838:I838" si="413">H839+H841</f>
        <v>4580.7</v>
      </c>
      <c r="I838" s="40">
        <f t="shared" si="413"/>
        <v>0</v>
      </c>
      <c r="J838" s="1"/>
    </row>
    <row r="839" spans="1:10" ht="78.75" outlineLevel="6">
      <c r="A839" s="18" t="s">
        <v>509</v>
      </c>
      <c r="B839" s="19" t="s">
        <v>470</v>
      </c>
      <c r="C839" s="20" t="s">
        <v>337</v>
      </c>
      <c r="D839" s="20" t="s">
        <v>337</v>
      </c>
      <c r="E839" s="20" t="s">
        <v>578</v>
      </c>
      <c r="F839" s="20" t="s">
        <v>4</v>
      </c>
      <c r="G839" s="40">
        <f>G840</f>
        <v>3288.4</v>
      </c>
      <c r="H839" s="40">
        <f t="shared" ref="H839:I839" si="414">H840</f>
        <v>3985.2</v>
      </c>
      <c r="I839" s="40">
        <f t="shared" si="414"/>
        <v>0</v>
      </c>
      <c r="J839" s="1"/>
    </row>
    <row r="840" spans="1:10" ht="49.9" customHeight="1" outlineLevel="7">
      <c r="A840" s="18" t="s">
        <v>103</v>
      </c>
      <c r="B840" s="19" t="s">
        <v>470</v>
      </c>
      <c r="C840" s="20" t="s">
        <v>337</v>
      </c>
      <c r="D840" s="20" t="s">
        <v>337</v>
      </c>
      <c r="E840" s="20" t="s">
        <v>578</v>
      </c>
      <c r="F840" s="20" t="s">
        <v>104</v>
      </c>
      <c r="G840" s="40">
        <v>3288.4</v>
      </c>
      <c r="H840" s="40">
        <v>3985.2</v>
      </c>
      <c r="I840" s="40">
        <v>0</v>
      </c>
      <c r="J840" s="1"/>
    </row>
    <row r="841" spans="1:10" ht="78.75" outlineLevel="6">
      <c r="A841" s="18" t="s">
        <v>509</v>
      </c>
      <c r="B841" s="19" t="s">
        <v>470</v>
      </c>
      <c r="C841" s="20" t="s">
        <v>337</v>
      </c>
      <c r="D841" s="20" t="s">
        <v>337</v>
      </c>
      <c r="E841" s="20" t="s">
        <v>579</v>
      </c>
      <c r="F841" s="20" t="s">
        <v>4</v>
      </c>
      <c r="G841" s="40">
        <f>G842</f>
        <v>491.4</v>
      </c>
      <c r="H841" s="40">
        <f t="shared" ref="H841:I841" si="415">H842</f>
        <v>595.5</v>
      </c>
      <c r="I841" s="40">
        <f t="shared" si="415"/>
        <v>0</v>
      </c>
      <c r="J841" s="1"/>
    </row>
    <row r="842" spans="1:10" ht="62.25" customHeight="1" outlineLevel="7">
      <c r="A842" s="18" t="s">
        <v>103</v>
      </c>
      <c r="B842" s="19" t="s">
        <v>470</v>
      </c>
      <c r="C842" s="20" t="s">
        <v>337</v>
      </c>
      <c r="D842" s="20" t="s">
        <v>337</v>
      </c>
      <c r="E842" s="20" t="s">
        <v>579</v>
      </c>
      <c r="F842" s="20" t="s">
        <v>104</v>
      </c>
      <c r="G842" s="40">
        <v>491.4</v>
      </c>
      <c r="H842" s="40">
        <v>595.5</v>
      </c>
      <c r="I842" s="40">
        <v>0</v>
      </c>
      <c r="J842" s="1"/>
    </row>
    <row r="843" spans="1:10" ht="31.5" outlineLevel="2">
      <c r="A843" s="15" t="s">
        <v>580</v>
      </c>
      <c r="B843" s="16" t="s">
        <v>470</v>
      </c>
      <c r="C843" s="17" t="s">
        <v>337</v>
      </c>
      <c r="D843" s="17" t="s">
        <v>176</v>
      </c>
      <c r="E843" s="17" t="s">
        <v>3</v>
      </c>
      <c r="F843" s="17" t="s">
        <v>4</v>
      </c>
      <c r="G843" s="39">
        <f>G844+G858</f>
        <v>43694.953600000001</v>
      </c>
      <c r="H843" s="39">
        <f t="shared" ref="H843:I845" si="416">H844</f>
        <v>40156.6</v>
      </c>
      <c r="I843" s="39">
        <f t="shared" si="416"/>
        <v>40156.6</v>
      </c>
      <c r="J843" s="1"/>
    </row>
    <row r="844" spans="1:10" ht="47.25" outlineLevel="3">
      <c r="A844" s="18" t="s">
        <v>471</v>
      </c>
      <c r="B844" s="19" t="s">
        <v>470</v>
      </c>
      <c r="C844" s="20" t="s">
        <v>337</v>
      </c>
      <c r="D844" s="20" t="s">
        <v>176</v>
      </c>
      <c r="E844" s="20" t="s">
        <v>472</v>
      </c>
      <c r="F844" s="20" t="s">
        <v>4</v>
      </c>
      <c r="G844" s="40">
        <f>G845</f>
        <v>43400.353600000002</v>
      </c>
      <c r="H844" s="40">
        <f t="shared" si="416"/>
        <v>40156.6</v>
      </c>
      <c r="I844" s="40">
        <f t="shared" si="416"/>
        <v>40156.6</v>
      </c>
      <c r="J844" s="1"/>
    </row>
    <row r="845" spans="1:10" ht="31.5" outlineLevel="4">
      <c r="A845" s="18" t="s">
        <v>11</v>
      </c>
      <c r="B845" s="19" t="s">
        <v>470</v>
      </c>
      <c r="C845" s="20" t="s">
        <v>337</v>
      </c>
      <c r="D845" s="20" t="s">
        <v>176</v>
      </c>
      <c r="E845" s="20" t="s">
        <v>498</v>
      </c>
      <c r="F845" s="20" t="s">
        <v>4</v>
      </c>
      <c r="G845" s="40">
        <f>G846</f>
        <v>43400.353600000002</v>
      </c>
      <c r="H845" s="40">
        <f t="shared" si="416"/>
        <v>40156.6</v>
      </c>
      <c r="I845" s="40">
        <f t="shared" si="416"/>
        <v>40156.6</v>
      </c>
      <c r="J845" s="1"/>
    </row>
    <row r="846" spans="1:10" ht="63" outlineLevel="5">
      <c r="A846" s="18" t="s">
        <v>69</v>
      </c>
      <c r="B846" s="19" t="s">
        <v>470</v>
      </c>
      <c r="C846" s="20" t="s">
        <v>337</v>
      </c>
      <c r="D846" s="20" t="s">
        <v>176</v>
      </c>
      <c r="E846" s="20" t="s">
        <v>581</v>
      </c>
      <c r="F846" s="20" t="s">
        <v>4</v>
      </c>
      <c r="G846" s="40">
        <f>G847+G851+G855</f>
        <v>43400.353600000002</v>
      </c>
      <c r="H846" s="40">
        <f t="shared" ref="H846:I846" si="417">H847+H851+H855</f>
        <v>40156.6</v>
      </c>
      <c r="I846" s="40">
        <f t="shared" si="417"/>
        <v>40156.6</v>
      </c>
      <c r="J846" s="1"/>
    </row>
    <row r="847" spans="1:10" ht="47.25" outlineLevel="6">
      <c r="A847" s="18" t="s">
        <v>21</v>
      </c>
      <c r="B847" s="19" t="s">
        <v>470</v>
      </c>
      <c r="C847" s="20" t="s">
        <v>337</v>
      </c>
      <c r="D847" s="20" t="s">
        <v>176</v>
      </c>
      <c r="E847" s="20" t="s">
        <v>582</v>
      </c>
      <c r="F847" s="20" t="s">
        <v>4</v>
      </c>
      <c r="G847" s="40">
        <f>G848+G849+G850</f>
        <v>12607.900000000001</v>
      </c>
      <c r="H847" s="40">
        <f t="shared" ref="H847:I847" si="418">H848+H849+H850</f>
        <v>10660.7</v>
      </c>
      <c r="I847" s="40">
        <f t="shared" si="418"/>
        <v>10660.7</v>
      </c>
      <c r="J847" s="1"/>
    </row>
    <row r="848" spans="1:10" ht="126.75" customHeight="1" outlineLevel="7">
      <c r="A848" s="18" t="s">
        <v>17</v>
      </c>
      <c r="B848" s="19" t="s">
        <v>470</v>
      </c>
      <c r="C848" s="20" t="s">
        <v>337</v>
      </c>
      <c r="D848" s="20" t="s">
        <v>176</v>
      </c>
      <c r="E848" s="20" t="s">
        <v>582</v>
      </c>
      <c r="F848" s="20" t="s">
        <v>18</v>
      </c>
      <c r="G848" s="40">
        <f>9575.7+563.1+12.7+1571.4</f>
        <v>11722.900000000001</v>
      </c>
      <c r="H848" s="40">
        <v>9575.7000000000007</v>
      </c>
      <c r="I848" s="40">
        <v>9575.7000000000007</v>
      </c>
      <c r="J848" s="1"/>
    </row>
    <row r="849" spans="1:10" ht="63" outlineLevel="7">
      <c r="A849" s="18" t="s">
        <v>27</v>
      </c>
      <c r="B849" s="19" t="s">
        <v>470</v>
      </c>
      <c r="C849" s="20" t="s">
        <v>337</v>
      </c>
      <c r="D849" s="20" t="s">
        <v>176</v>
      </c>
      <c r="E849" s="20" t="s">
        <v>582</v>
      </c>
      <c r="F849" s="20" t="s">
        <v>28</v>
      </c>
      <c r="G849" s="40">
        <f>1076.1-200</f>
        <v>876.09999999999991</v>
      </c>
      <c r="H849" s="40">
        <v>1076.0999999999999</v>
      </c>
      <c r="I849" s="40">
        <v>1076.0999999999999</v>
      </c>
      <c r="J849" s="1"/>
    </row>
    <row r="850" spans="1:10" ht="31.5" outlineLevel="7">
      <c r="A850" s="18" t="s">
        <v>63</v>
      </c>
      <c r="B850" s="19" t="s">
        <v>470</v>
      </c>
      <c r="C850" s="20" t="s">
        <v>337</v>
      </c>
      <c r="D850" s="20" t="s">
        <v>176</v>
      </c>
      <c r="E850" s="20" t="s">
        <v>582</v>
      </c>
      <c r="F850" s="20" t="s">
        <v>64</v>
      </c>
      <c r="G850" s="40">
        <v>8.9</v>
      </c>
      <c r="H850" s="40">
        <v>8.9</v>
      </c>
      <c r="I850" s="40">
        <v>8.9</v>
      </c>
      <c r="J850" s="1"/>
    </row>
    <row r="851" spans="1:10" ht="47.25" outlineLevel="6">
      <c r="A851" s="18" t="s">
        <v>59</v>
      </c>
      <c r="B851" s="19" t="s">
        <v>470</v>
      </c>
      <c r="C851" s="20" t="s">
        <v>337</v>
      </c>
      <c r="D851" s="20" t="s">
        <v>176</v>
      </c>
      <c r="E851" s="20" t="s">
        <v>583</v>
      </c>
      <c r="F851" s="20" t="s">
        <v>4</v>
      </c>
      <c r="G851" s="40">
        <f>G852+G853+G854</f>
        <v>26021.773530000002</v>
      </c>
      <c r="H851" s="40">
        <f t="shared" ref="H851:I851" si="419">H852+H853+H854</f>
        <v>24966.2</v>
      </c>
      <c r="I851" s="40">
        <f t="shared" si="419"/>
        <v>24966.2</v>
      </c>
      <c r="J851" s="1"/>
    </row>
    <row r="852" spans="1:10" ht="127.5" customHeight="1" outlineLevel="7">
      <c r="A852" s="18" t="s">
        <v>17</v>
      </c>
      <c r="B852" s="19" t="s">
        <v>470</v>
      </c>
      <c r="C852" s="20" t="s">
        <v>337</v>
      </c>
      <c r="D852" s="20" t="s">
        <v>176</v>
      </c>
      <c r="E852" s="20" t="s">
        <v>583</v>
      </c>
      <c r="F852" s="20" t="s">
        <v>18</v>
      </c>
      <c r="G852" s="40">
        <f>22758.4+913.2+38+251.8-97.42647</f>
        <v>23863.973530000003</v>
      </c>
      <c r="H852" s="40">
        <v>22758.400000000001</v>
      </c>
      <c r="I852" s="40">
        <v>22758.400000000001</v>
      </c>
      <c r="J852" s="1"/>
    </row>
    <row r="853" spans="1:10" ht="50.45" customHeight="1" outlineLevel="7">
      <c r="A853" s="18" t="s">
        <v>27</v>
      </c>
      <c r="B853" s="19" t="s">
        <v>470</v>
      </c>
      <c r="C853" s="20" t="s">
        <v>337</v>
      </c>
      <c r="D853" s="20" t="s">
        <v>176</v>
      </c>
      <c r="E853" s="20" t="s">
        <v>583</v>
      </c>
      <c r="F853" s="20" t="s">
        <v>28</v>
      </c>
      <c r="G853" s="40">
        <f>2200.6-50</f>
        <v>2150.6</v>
      </c>
      <c r="H853" s="40">
        <v>2200.6</v>
      </c>
      <c r="I853" s="40">
        <v>2200.6</v>
      </c>
      <c r="J853" s="1"/>
    </row>
    <row r="854" spans="1:10" ht="31.5" outlineLevel="7">
      <c r="A854" s="18" t="s">
        <v>63</v>
      </c>
      <c r="B854" s="19" t="s">
        <v>470</v>
      </c>
      <c r="C854" s="20" t="s">
        <v>337</v>
      </c>
      <c r="D854" s="20" t="s">
        <v>176</v>
      </c>
      <c r="E854" s="20" t="s">
        <v>583</v>
      </c>
      <c r="F854" s="20" t="s">
        <v>64</v>
      </c>
      <c r="G854" s="40">
        <v>7.2</v>
      </c>
      <c r="H854" s="40">
        <v>7.2</v>
      </c>
      <c r="I854" s="40">
        <v>7.2</v>
      </c>
      <c r="J854" s="1"/>
    </row>
    <row r="855" spans="1:10" ht="63" outlineLevel="6">
      <c r="A855" s="18" t="s">
        <v>584</v>
      </c>
      <c r="B855" s="19" t="s">
        <v>470</v>
      </c>
      <c r="C855" s="20" t="s">
        <v>337</v>
      </c>
      <c r="D855" s="20" t="s">
        <v>176</v>
      </c>
      <c r="E855" s="20" t="s">
        <v>585</v>
      </c>
      <c r="F855" s="20" t="s">
        <v>4</v>
      </c>
      <c r="G855" s="40">
        <f>G856+G857</f>
        <v>4770.6800699999994</v>
      </c>
      <c r="H855" s="40">
        <f t="shared" ref="H855:I855" si="420">H856+H857</f>
        <v>4529.7</v>
      </c>
      <c r="I855" s="40">
        <f t="shared" si="420"/>
        <v>4529.7</v>
      </c>
      <c r="J855" s="1"/>
    </row>
    <row r="856" spans="1:10" ht="128.25" customHeight="1" outlineLevel="7">
      <c r="A856" s="18" t="s">
        <v>17</v>
      </c>
      <c r="B856" s="19" t="s">
        <v>470</v>
      </c>
      <c r="C856" s="20" t="s">
        <v>337</v>
      </c>
      <c r="D856" s="20" t="s">
        <v>176</v>
      </c>
      <c r="E856" s="20" t="s">
        <v>585</v>
      </c>
      <c r="F856" s="20" t="s">
        <v>18</v>
      </c>
      <c r="G856" s="40">
        <f>3858.4+134.1+187.7+43-124.42636</f>
        <v>4098.7736399999994</v>
      </c>
      <c r="H856" s="40">
        <v>3858.4</v>
      </c>
      <c r="I856" s="40">
        <v>3858.4</v>
      </c>
      <c r="J856" s="1"/>
    </row>
    <row r="857" spans="1:10" ht="48.6" customHeight="1" outlineLevel="7">
      <c r="A857" s="18" t="s">
        <v>27</v>
      </c>
      <c r="B857" s="19" t="s">
        <v>470</v>
      </c>
      <c r="C857" s="20" t="s">
        <v>337</v>
      </c>
      <c r="D857" s="20" t="s">
        <v>176</v>
      </c>
      <c r="E857" s="20" t="s">
        <v>585</v>
      </c>
      <c r="F857" s="20" t="s">
        <v>28</v>
      </c>
      <c r="G857" s="40">
        <f>671.3-50+50.60643</f>
        <v>671.90643</v>
      </c>
      <c r="H857" s="40">
        <v>671.3</v>
      </c>
      <c r="I857" s="40">
        <v>671.3</v>
      </c>
      <c r="J857" s="1"/>
    </row>
    <row r="858" spans="1:10" ht="33.75" customHeight="1" outlineLevel="7">
      <c r="A858" s="18" t="s">
        <v>140</v>
      </c>
      <c r="B858" s="19" t="s">
        <v>470</v>
      </c>
      <c r="C858" s="20" t="s">
        <v>337</v>
      </c>
      <c r="D858" s="20" t="s">
        <v>176</v>
      </c>
      <c r="E858" s="20" t="s">
        <v>141</v>
      </c>
      <c r="F858" s="20" t="s">
        <v>4</v>
      </c>
      <c r="G858" s="40">
        <f t="shared" ref="G858:G859" si="421">G859</f>
        <v>294.60000000000002</v>
      </c>
      <c r="H858" s="40">
        <f t="shared" ref="H858:H859" si="422">H859</f>
        <v>0</v>
      </c>
      <c r="I858" s="40">
        <f t="shared" ref="I858:I859" si="423">I859</f>
        <v>0</v>
      </c>
      <c r="J858" s="1"/>
    </row>
    <row r="859" spans="1:10" ht="15" customHeight="1" outlineLevel="7">
      <c r="A859" s="18" t="s">
        <v>142</v>
      </c>
      <c r="B859" s="19" t="s">
        <v>470</v>
      </c>
      <c r="C859" s="20" t="s">
        <v>337</v>
      </c>
      <c r="D859" s="20" t="s">
        <v>176</v>
      </c>
      <c r="E859" s="20" t="s">
        <v>143</v>
      </c>
      <c r="F859" s="20" t="s">
        <v>4</v>
      </c>
      <c r="G859" s="40">
        <f t="shared" si="421"/>
        <v>294.60000000000002</v>
      </c>
      <c r="H859" s="40">
        <f t="shared" si="422"/>
        <v>0</v>
      </c>
      <c r="I859" s="40">
        <f t="shared" si="423"/>
        <v>0</v>
      </c>
      <c r="J859" s="1"/>
    </row>
    <row r="860" spans="1:10" ht="99.75" customHeight="1" outlineLevel="7">
      <c r="A860" s="21" t="s">
        <v>769</v>
      </c>
      <c r="B860" s="19" t="s">
        <v>470</v>
      </c>
      <c r="C860" s="20" t="s">
        <v>337</v>
      </c>
      <c r="D860" s="20" t="s">
        <v>176</v>
      </c>
      <c r="E860" s="23">
        <v>9990055491</v>
      </c>
      <c r="F860" s="19" t="s">
        <v>4</v>
      </c>
      <c r="G860" s="40">
        <f>G861</f>
        <v>294.60000000000002</v>
      </c>
      <c r="H860" s="40">
        <f>H861</f>
        <v>0</v>
      </c>
      <c r="I860" s="40">
        <f>I861</f>
        <v>0</v>
      </c>
      <c r="J860" s="1"/>
    </row>
    <row r="861" spans="1:10" ht="128.25" customHeight="1" outlineLevel="7">
      <c r="A861" s="18" t="s">
        <v>17</v>
      </c>
      <c r="B861" s="19" t="s">
        <v>470</v>
      </c>
      <c r="C861" s="20" t="s">
        <v>337</v>
      </c>
      <c r="D861" s="20" t="s">
        <v>176</v>
      </c>
      <c r="E861" s="23">
        <v>9990055491</v>
      </c>
      <c r="F861" s="19" t="s">
        <v>18</v>
      </c>
      <c r="G861" s="40">
        <v>294.60000000000002</v>
      </c>
      <c r="H861" s="40">
        <v>0</v>
      </c>
      <c r="I861" s="40">
        <v>0</v>
      </c>
      <c r="J861" s="1"/>
    </row>
    <row r="862" spans="1:10" ht="15.75" outlineLevel="1">
      <c r="A862" s="12" t="s">
        <v>105</v>
      </c>
      <c r="B862" s="13" t="s">
        <v>470</v>
      </c>
      <c r="C862" s="14" t="s">
        <v>106</v>
      </c>
      <c r="D862" s="14" t="s">
        <v>2</v>
      </c>
      <c r="E862" s="14" t="s">
        <v>3</v>
      </c>
      <c r="F862" s="14" t="s">
        <v>4</v>
      </c>
      <c r="G862" s="38">
        <f>G863+G874+G891</f>
        <v>105131.1</v>
      </c>
      <c r="H862" s="38">
        <f t="shared" ref="H862:I862" si="424">H863+H874+H891</f>
        <v>101125.2</v>
      </c>
      <c r="I862" s="38">
        <f t="shared" si="424"/>
        <v>101125.2</v>
      </c>
      <c r="J862" s="1"/>
    </row>
    <row r="863" spans="1:10" ht="18" customHeight="1" outlineLevel="2">
      <c r="A863" s="15" t="s">
        <v>110</v>
      </c>
      <c r="B863" s="16" t="s">
        <v>470</v>
      </c>
      <c r="C863" s="17" t="s">
        <v>106</v>
      </c>
      <c r="D863" s="17" t="s">
        <v>81</v>
      </c>
      <c r="E863" s="17" t="s">
        <v>3</v>
      </c>
      <c r="F863" s="17" t="s">
        <v>4</v>
      </c>
      <c r="G863" s="39">
        <f>G864</f>
        <v>5878.5</v>
      </c>
      <c r="H863" s="39">
        <f t="shared" ref="H863:I864" si="425">H864</f>
        <v>5236.3999999999996</v>
      </c>
      <c r="I863" s="39">
        <f t="shared" si="425"/>
        <v>5236.3999999999996</v>
      </c>
      <c r="J863" s="1"/>
    </row>
    <row r="864" spans="1:10" ht="47.25" outlineLevel="3">
      <c r="A864" s="18" t="s">
        <v>471</v>
      </c>
      <c r="B864" s="19" t="s">
        <v>470</v>
      </c>
      <c r="C864" s="20" t="s">
        <v>106</v>
      </c>
      <c r="D864" s="20" t="s">
        <v>81</v>
      </c>
      <c r="E864" s="20" t="s">
        <v>472</v>
      </c>
      <c r="F864" s="20" t="s">
        <v>4</v>
      </c>
      <c r="G864" s="40">
        <f>G865</f>
        <v>5878.5</v>
      </c>
      <c r="H864" s="40">
        <f t="shared" si="425"/>
        <v>5236.3999999999996</v>
      </c>
      <c r="I864" s="40">
        <f t="shared" si="425"/>
        <v>5236.3999999999996</v>
      </c>
      <c r="J864" s="1"/>
    </row>
    <row r="865" spans="1:10" ht="31.5" outlineLevel="4">
      <c r="A865" s="18" t="s">
        <v>11</v>
      </c>
      <c r="B865" s="19" t="s">
        <v>470</v>
      </c>
      <c r="C865" s="20" t="s">
        <v>106</v>
      </c>
      <c r="D865" s="20" t="s">
        <v>81</v>
      </c>
      <c r="E865" s="20" t="s">
        <v>498</v>
      </c>
      <c r="F865" s="20" t="s">
        <v>4</v>
      </c>
      <c r="G865" s="40">
        <f>G866+G870</f>
        <v>5878.5</v>
      </c>
      <c r="H865" s="40">
        <f t="shared" ref="H865:I865" si="426">H866+H870</f>
        <v>5236.3999999999996</v>
      </c>
      <c r="I865" s="40">
        <f t="shared" si="426"/>
        <v>5236.3999999999996</v>
      </c>
      <c r="J865" s="1"/>
    </row>
    <row r="866" spans="1:10" ht="94.5" outlineLevel="5">
      <c r="A866" s="18" t="s">
        <v>499</v>
      </c>
      <c r="B866" s="19" t="s">
        <v>470</v>
      </c>
      <c r="C866" s="20" t="s">
        <v>106</v>
      </c>
      <c r="D866" s="20" t="s">
        <v>81</v>
      </c>
      <c r="E866" s="20" t="s">
        <v>500</v>
      </c>
      <c r="F866" s="20" t="s">
        <v>4</v>
      </c>
      <c r="G866" s="40">
        <f>G867</f>
        <v>1757.0000000000002</v>
      </c>
      <c r="H866" s="40">
        <f t="shared" ref="H866:I866" si="427">H867</f>
        <v>1554.9</v>
      </c>
      <c r="I866" s="40">
        <f t="shared" si="427"/>
        <v>1554.9</v>
      </c>
      <c r="J866" s="1"/>
    </row>
    <row r="867" spans="1:10" ht="31.5" outlineLevel="6">
      <c r="A867" s="18" t="s">
        <v>586</v>
      </c>
      <c r="B867" s="19" t="s">
        <v>470</v>
      </c>
      <c r="C867" s="20" t="s">
        <v>106</v>
      </c>
      <c r="D867" s="20" t="s">
        <v>81</v>
      </c>
      <c r="E867" s="20" t="s">
        <v>587</v>
      </c>
      <c r="F867" s="20" t="s">
        <v>4</v>
      </c>
      <c r="G867" s="40">
        <f>G868+G869</f>
        <v>1757.0000000000002</v>
      </c>
      <c r="H867" s="40">
        <f t="shared" ref="H867:I867" si="428">H868+H869</f>
        <v>1554.9</v>
      </c>
      <c r="I867" s="40">
        <f t="shared" si="428"/>
        <v>1554.9</v>
      </c>
      <c r="J867" s="1"/>
    </row>
    <row r="868" spans="1:10" ht="46.15" customHeight="1" outlineLevel="7">
      <c r="A868" s="18" t="s">
        <v>27</v>
      </c>
      <c r="B868" s="19" t="s">
        <v>470</v>
      </c>
      <c r="C868" s="20" t="s">
        <v>106</v>
      </c>
      <c r="D868" s="20" t="s">
        <v>81</v>
      </c>
      <c r="E868" s="20" t="s">
        <v>587</v>
      </c>
      <c r="F868" s="20" t="s">
        <v>28</v>
      </c>
      <c r="G868" s="40">
        <f>15.5+0.6+0.6+0.69606</f>
        <v>17.396060000000002</v>
      </c>
      <c r="H868" s="40">
        <v>15.5</v>
      </c>
      <c r="I868" s="40">
        <v>15.5</v>
      </c>
      <c r="J868" s="1"/>
    </row>
    <row r="869" spans="1:10" ht="31.5" outlineLevel="7">
      <c r="A869" s="18" t="s">
        <v>42</v>
      </c>
      <c r="B869" s="19" t="s">
        <v>470</v>
      </c>
      <c r="C869" s="20" t="s">
        <v>106</v>
      </c>
      <c r="D869" s="20" t="s">
        <v>81</v>
      </c>
      <c r="E869" s="20" t="s">
        <v>587</v>
      </c>
      <c r="F869" s="20" t="s">
        <v>43</v>
      </c>
      <c r="G869" s="40">
        <f>1539.4+69.4+57.2+73.60394</f>
        <v>1739.6039400000002</v>
      </c>
      <c r="H869" s="40">
        <v>1539.4</v>
      </c>
      <c r="I869" s="40">
        <v>1539.4</v>
      </c>
      <c r="J869" s="1"/>
    </row>
    <row r="870" spans="1:10" ht="63" outlineLevel="5">
      <c r="A870" s="18" t="s">
        <v>69</v>
      </c>
      <c r="B870" s="19" t="s">
        <v>470</v>
      </c>
      <c r="C870" s="20" t="s">
        <v>106</v>
      </c>
      <c r="D870" s="20" t="s">
        <v>81</v>
      </c>
      <c r="E870" s="20" t="s">
        <v>581</v>
      </c>
      <c r="F870" s="20" t="s">
        <v>4</v>
      </c>
      <c r="G870" s="40">
        <f>G871</f>
        <v>4121.5</v>
      </c>
      <c r="H870" s="40">
        <f t="shared" ref="H870:I870" si="429">H871</f>
        <v>3681.5</v>
      </c>
      <c r="I870" s="40">
        <f t="shared" si="429"/>
        <v>3681.5</v>
      </c>
      <c r="J870" s="1"/>
    </row>
    <row r="871" spans="1:10" ht="157.5" outlineLevel="6">
      <c r="A871" s="18" t="s">
        <v>507</v>
      </c>
      <c r="B871" s="19" t="s">
        <v>470</v>
      </c>
      <c r="C871" s="20" t="s">
        <v>106</v>
      </c>
      <c r="D871" s="20" t="s">
        <v>81</v>
      </c>
      <c r="E871" s="20" t="s">
        <v>588</v>
      </c>
      <c r="F871" s="20" t="s">
        <v>4</v>
      </c>
      <c r="G871" s="40">
        <f>G872+G873</f>
        <v>4121.5</v>
      </c>
      <c r="H871" s="40">
        <f t="shared" ref="H871:I871" si="430">H872+H873</f>
        <v>3681.5</v>
      </c>
      <c r="I871" s="40">
        <f t="shared" si="430"/>
        <v>3681.5</v>
      </c>
      <c r="J871" s="1"/>
    </row>
    <row r="872" spans="1:10" ht="63" outlineLevel="7">
      <c r="A872" s="18" t="s">
        <v>27</v>
      </c>
      <c r="B872" s="19" t="s">
        <v>470</v>
      </c>
      <c r="C872" s="20" t="s">
        <v>106</v>
      </c>
      <c r="D872" s="20" t="s">
        <v>81</v>
      </c>
      <c r="E872" s="20" t="s">
        <v>588</v>
      </c>
      <c r="F872" s="20" t="s">
        <v>28</v>
      </c>
      <c r="G872" s="40">
        <f>36.8+10+2+3.30306</f>
        <v>52.103059999999999</v>
      </c>
      <c r="H872" s="40">
        <v>36.799999999999997</v>
      </c>
      <c r="I872" s="40">
        <v>36.799999999999997</v>
      </c>
      <c r="J872" s="1"/>
    </row>
    <row r="873" spans="1:10" ht="31.5" outlineLevel="7">
      <c r="A873" s="18" t="s">
        <v>42</v>
      </c>
      <c r="B873" s="19" t="s">
        <v>470</v>
      </c>
      <c r="C873" s="20" t="s">
        <v>106</v>
      </c>
      <c r="D873" s="20" t="s">
        <v>81</v>
      </c>
      <c r="E873" s="20" t="s">
        <v>588</v>
      </c>
      <c r="F873" s="20" t="s">
        <v>43</v>
      </c>
      <c r="G873" s="40">
        <f>3644.7-10+438-3.30306</f>
        <v>4069.3969399999996</v>
      </c>
      <c r="H873" s="40">
        <v>3644.7</v>
      </c>
      <c r="I873" s="40">
        <v>3644.7</v>
      </c>
      <c r="J873" s="1"/>
    </row>
    <row r="874" spans="1:10" ht="15.75" outlineLevel="2">
      <c r="A874" s="15" t="s">
        <v>325</v>
      </c>
      <c r="B874" s="16" t="s">
        <v>470</v>
      </c>
      <c r="C874" s="17" t="s">
        <v>106</v>
      </c>
      <c r="D874" s="17" t="s">
        <v>20</v>
      </c>
      <c r="E874" s="17" t="s">
        <v>3</v>
      </c>
      <c r="F874" s="17" t="s">
        <v>4</v>
      </c>
      <c r="G874" s="39">
        <f>G875</f>
        <v>94751.8</v>
      </c>
      <c r="H874" s="39">
        <f t="shared" ref="H874:I875" si="431">H875</f>
        <v>92090.5</v>
      </c>
      <c r="I874" s="39">
        <f t="shared" si="431"/>
        <v>92090.5</v>
      </c>
      <c r="J874" s="1"/>
    </row>
    <row r="875" spans="1:10" ht="47.25" outlineLevel="3">
      <c r="A875" s="18" t="s">
        <v>471</v>
      </c>
      <c r="B875" s="19" t="s">
        <v>470</v>
      </c>
      <c r="C875" s="20" t="s">
        <v>106</v>
      </c>
      <c r="D875" s="20" t="s">
        <v>20</v>
      </c>
      <c r="E875" s="20" t="s">
        <v>472</v>
      </c>
      <c r="F875" s="20" t="s">
        <v>4</v>
      </c>
      <c r="G875" s="40">
        <f>G876</f>
        <v>94751.8</v>
      </c>
      <c r="H875" s="40">
        <f t="shared" si="431"/>
        <v>92090.5</v>
      </c>
      <c r="I875" s="40">
        <f t="shared" si="431"/>
        <v>92090.5</v>
      </c>
      <c r="J875" s="1"/>
    </row>
    <row r="876" spans="1:10" ht="31.5" outlineLevel="4">
      <c r="A876" s="18" t="s">
        <v>11</v>
      </c>
      <c r="B876" s="19" t="s">
        <v>470</v>
      </c>
      <c r="C876" s="20" t="s">
        <v>106</v>
      </c>
      <c r="D876" s="20" t="s">
        <v>20</v>
      </c>
      <c r="E876" s="20" t="s">
        <v>498</v>
      </c>
      <c r="F876" s="20" t="s">
        <v>4</v>
      </c>
      <c r="G876" s="40">
        <f>G877+G881</f>
        <v>94751.8</v>
      </c>
      <c r="H876" s="40">
        <f t="shared" ref="H876:I876" si="432">H877+H881</f>
        <v>92090.5</v>
      </c>
      <c r="I876" s="40">
        <f t="shared" si="432"/>
        <v>92090.5</v>
      </c>
      <c r="J876" s="1"/>
    </row>
    <row r="877" spans="1:10" ht="94.5" outlineLevel="5">
      <c r="A877" s="18" t="s">
        <v>499</v>
      </c>
      <c r="B877" s="19" t="s">
        <v>470</v>
      </c>
      <c r="C877" s="20" t="s">
        <v>106</v>
      </c>
      <c r="D877" s="20" t="s">
        <v>20</v>
      </c>
      <c r="E877" s="20" t="s">
        <v>500</v>
      </c>
      <c r="F877" s="20" t="s">
        <v>4</v>
      </c>
      <c r="G877" s="40">
        <f>G878</f>
        <v>47106.5</v>
      </c>
      <c r="H877" s="40">
        <f t="shared" ref="H877:I877" si="433">H878</f>
        <v>45106.5</v>
      </c>
      <c r="I877" s="40">
        <f t="shared" si="433"/>
        <v>45106.5</v>
      </c>
      <c r="J877" s="1"/>
    </row>
    <row r="878" spans="1:10" ht="94.5" outlineLevel="6">
      <c r="A878" s="18" t="s">
        <v>589</v>
      </c>
      <c r="B878" s="19" t="s">
        <v>470</v>
      </c>
      <c r="C878" s="20" t="s">
        <v>106</v>
      </c>
      <c r="D878" s="20" t="s">
        <v>20</v>
      </c>
      <c r="E878" s="20" t="s">
        <v>590</v>
      </c>
      <c r="F878" s="20" t="s">
        <v>4</v>
      </c>
      <c r="G878" s="40">
        <f>G879+G880</f>
        <v>47106.5</v>
      </c>
      <c r="H878" s="40">
        <f t="shared" ref="H878:I878" si="434">H879+H880</f>
        <v>45106.5</v>
      </c>
      <c r="I878" s="40">
        <f t="shared" si="434"/>
        <v>45106.5</v>
      </c>
      <c r="J878" s="1"/>
    </row>
    <row r="879" spans="1:10" ht="63" outlineLevel="7">
      <c r="A879" s="18" t="s">
        <v>27</v>
      </c>
      <c r="B879" s="19" t="s">
        <v>470</v>
      </c>
      <c r="C879" s="20" t="s">
        <v>106</v>
      </c>
      <c r="D879" s="20" t="s">
        <v>20</v>
      </c>
      <c r="E879" s="20" t="s">
        <v>590</v>
      </c>
      <c r="F879" s="20" t="s">
        <v>28</v>
      </c>
      <c r="G879" s="40">
        <f>453+13.4</f>
        <v>466.4</v>
      </c>
      <c r="H879" s="40">
        <v>453</v>
      </c>
      <c r="I879" s="40">
        <v>453</v>
      </c>
      <c r="J879" s="1"/>
    </row>
    <row r="880" spans="1:10" ht="31.5" outlineLevel="7">
      <c r="A880" s="18" t="s">
        <v>42</v>
      </c>
      <c r="B880" s="19" t="s">
        <v>470</v>
      </c>
      <c r="C880" s="20" t="s">
        <v>106</v>
      </c>
      <c r="D880" s="20" t="s">
        <v>20</v>
      </c>
      <c r="E880" s="20" t="s">
        <v>590</v>
      </c>
      <c r="F880" s="20" t="s">
        <v>43</v>
      </c>
      <c r="G880" s="40">
        <f>44653.5+1986.6</f>
        <v>46640.1</v>
      </c>
      <c r="H880" s="40">
        <v>44653.5</v>
      </c>
      <c r="I880" s="40">
        <v>44653.5</v>
      </c>
      <c r="J880" s="1"/>
    </row>
    <row r="881" spans="1:10" ht="63.75" customHeight="1" outlineLevel="5">
      <c r="A881" s="18" t="s">
        <v>591</v>
      </c>
      <c r="B881" s="19" t="s">
        <v>470</v>
      </c>
      <c r="C881" s="20" t="s">
        <v>106</v>
      </c>
      <c r="D881" s="20" t="s">
        <v>20</v>
      </c>
      <c r="E881" s="20" t="s">
        <v>592</v>
      </c>
      <c r="F881" s="20" t="s">
        <v>4</v>
      </c>
      <c r="G881" s="40">
        <f>G882+G885+G888</f>
        <v>47645.3</v>
      </c>
      <c r="H881" s="40">
        <f t="shared" ref="H881:I881" si="435">H882+H885+H888</f>
        <v>46984</v>
      </c>
      <c r="I881" s="40">
        <f t="shared" si="435"/>
        <v>46984</v>
      </c>
      <c r="J881" s="1"/>
    </row>
    <row r="882" spans="1:10" ht="94.5" outlineLevel="6">
      <c r="A882" s="18" t="s">
        <v>593</v>
      </c>
      <c r="B882" s="19" t="s">
        <v>470</v>
      </c>
      <c r="C882" s="20" t="s">
        <v>106</v>
      </c>
      <c r="D882" s="20" t="s">
        <v>20</v>
      </c>
      <c r="E882" s="20" t="s">
        <v>594</v>
      </c>
      <c r="F882" s="20" t="s">
        <v>4</v>
      </c>
      <c r="G882" s="40">
        <f>G883+G884</f>
        <v>14687.679139999998</v>
      </c>
      <c r="H882" s="40">
        <f t="shared" ref="H882:I882" si="436">H883+H884</f>
        <v>15504.8</v>
      </c>
      <c r="I882" s="40">
        <f t="shared" si="436"/>
        <v>15504.8</v>
      </c>
      <c r="J882" s="1"/>
    </row>
    <row r="883" spans="1:10" ht="63" outlineLevel="7">
      <c r="A883" s="18" t="s">
        <v>27</v>
      </c>
      <c r="B883" s="19" t="s">
        <v>470</v>
      </c>
      <c r="C883" s="20" t="s">
        <v>106</v>
      </c>
      <c r="D883" s="20" t="s">
        <v>20</v>
      </c>
      <c r="E883" s="20" t="s">
        <v>594</v>
      </c>
      <c r="F883" s="20" t="s">
        <v>28</v>
      </c>
      <c r="G883" s="40">
        <f>139-10.84955</f>
        <v>128.15045000000001</v>
      </c>
      <c r="H883" s="40">
        <v>139</v>
      </c>
      <c r="I883" s="40">
        <v>139</v>
      </c>
      <c r="J883" s="1"/>
    </row>
    <row r="884" spans="1:10" ht="31.5" outlineLevel="7">
      <c r="A884" s="18" t="s">
        <v>42</v>
      </c>
      <c r="B884" s="19" t="s">
        <v>470</v>
      </c>
      <c r="C884" s="20" t="s">
        <v>106</v>
      </c>
      <c r="D884" s="20" t="s">
        <v>20</v>
      </c>
      <c r="E884" s="20" t="s">
        <v>594</v>
      </c>
      <c r="F884" s="20" t="s">
        <v>43</v>
      </c>
      <c r="G884" s="40">
        <f>15365.8+170+80-1000-73.738+17.46669</f>
        <v>14559.528689999999</v>
      </c>
      <c r="H884" s="40">
        <v>15365.8</v>
      </c>
      <c r="I884" s="40">
        <v>15365.8</v>
      </c>
      <c r="J884" s="1"/>
    </row>
    <row r="885" spans="1:10" ht="94.5" outlineLevel="6">
      <c r="A885" s="18" t="s">
        <v>595</v>
      </c>
      <c r="B885" s="19" t="s">
        <v>470</v>
      </c>
      <c r="C885" s="20" t="s">
        <v>106</v>
      </c>
      <c r="D885" s="20" t="s">
        <v>20</v>
      </c>
      <c r="E885" s="20" t="s">
        <v>596</v>
      </c>
      <c r="F885" s="20" t="s">
        <v>4</v>
      </c>
      <c r="G885" s="40">
        <f>G886+G887</f>
        <v>20270.502900000003</v>
      </c>
      <c r="H885" s="40">
        <f t="shared" ref="H885:I885" si="437">H886+H887</f>
        <v>19779.2</v>
      </c>
      <c r="I885" s="40">
        <f t="shared" si="437"/>
        <v>19779.2</v>
      </c>
      <c r="J885" s="1"/>
    </row>
    <row r="886" spans="1:10" ht="63" outlineLevel="7">
      <c r="A886" s="18" t="s">
        <v>27</v>
      </c>
      <c r="B886" s="19" t="s">
        <v>470</v>
      </c>
      <c r="C886" s="20" t="s">
        <v>106</v>
      </c>
      <c r="D886" s="20" t="s">
        <v>20</v>
      </c>
      <c r="E886" s="20" t="s">
        <v>596</v>
      </c>
      <c r="F886" s="20" t="s">
        <v>28</v>
      </c>
      <c r="G886" s="40">
        <f>178+6-6.6285</f>
        <v>177.3715</v>
      </c>
      <c r="H886" s="40">
        <v>178</v>
      </c>
      <c r="I886" s="40">
        <v>178</v>
      </c>
      <c r="J886" s="1"/>
    </row>
    <row r="887" spans="1:10" ht="31.5" outlineLevel="7">
      <c r="A887" s="18" t="s">
        <v>42</v>
      </c>
      <c r="B887" s="19" t="s">
        <v>470</v>
      </c>
      <c r="C887" s="20" t="s">
        <v>106</v>
      </c>
      <c r="D887" s="20" t="s">
        <v>20</v>
      </c>
      <c r="E887" s="20" t="s">
        <v>596</v>
      </c>
      <c r="F887" s="20" t="s">
        <v>43</v>
      </c>
      <c r="G887" s="40">
        <f>19601.2+755.3+563-80-500-250-64.6066+68.238</f>
        <v>20093.131400000002</v>
      </c>
      <c r="H887" s="40">
        <v>19601.2</v>
      </c>
      <c r="I887" s="40">
        <v>19601.2</v>
      </c>
      <c r="J887" s="1"/>
    </row>
    <row r="888" spans="1:10" ht="94.5" outlineLevel="6">
      <c r="A888" s="18" t="s">
        <v>597</v>
      </c>
      <c r="B888" s="19" t="s">
        <v>470</v>
      </c>
      <c r="C888" s="20" t="s">
        <v>106</v>
      </c>
      <c r="D888" s="20" t="s">
        <v>20</v>
      </c>
      <c r="E888" s="20" t="s">
        <v>598</v>
      </c>
      <c r="F888" s="20" t="s">
        <v>4</v>
      </c>
      <c r="G888" s="40">
        <f>G889+G890</f>
        <v>12687.11796</v>
      </c>
      <c r="H888" s="40">
        <f t="shared" ref="H888:I888" si="438">H889+H890</f>
        <v>11700</v>
      </c>
      <c r="I888" s="40">
        <f t="shared" si="438"/>
        <v>11700</v>
      </c>
      <c r="J888" s="1"/>
    </row>
    <row r="889" spans="1:10" ht="63" outlineLevel="7">
      <c r="A889" s="18" t="s">
        <v>27</v>
      </c>
      <c r="B889" s="19" t="s">
        <v>470</v>
      </c>
      <c r="C889" s="20" t="s">
        <v>106</v>
      </c>
      <c r="D889" s="20" t="s">
        <v>20</v>
      </c>
      <c r="E889" s="20" t="s">
        <v>598</v>
      </c>
      <c r="F889" s="20" t="s">
        <v>28</v>
      </c>
      <c r="G889" s="40">
        <f>100-6.53219</f>
        <v>93.46781</v>
      </c>
      <c r="H889" s="40">
        <v>100</v>
      </c>
      <c r="I889" s="40">
        <v>100</v>
      </c>
      <c r="J889" s="1"/>
    </row>
    <row r="890" spans="1:10" ht="31.5" outlineLevel="7">
      <c r="A890" s="18" t="s">
        <v>42</v>
      </c>
      <c r="B890" s="19" t="s">
        <v>470</v>
      </c>
      <c r="C890" s="20" t="s">
        <v>106</v>
      </c>
      <c r="D890" s="20" t="s">
        <v>20</v>
      </c>
      <c r="E890" s="20" t="s">
        <v>598</v>
      </c>
      <c r="F890" s="20" t="s">
        <v>43</v>
      </c>
      <c r="G890" s="40">
        <f>11600+1400-733+388.3446-61.69445</f>
        <v>12593.650149999999</v>
      </c>
      <c r="H890" s="40">
        <v>11600</v>
      </c>
      <c r="I890" s="40">
        <v>11600</v>
      </c>
      <c r="J890" s="1"/>
    </row>
    <row r="891" spans="1:10" ht="31.5" outlineLevel="2">
      <c r="A891" s="15" t="s">
        <v>599</v>
      </c>
      <c r="B891" s="16" t="s">
        <v>470</v>
      </c>
      <c r="C891" s="17" t="s">
        <v>106</v>
      </c>
      <c r="D891" s="17" t="s">
        <v>600</v>
      </c>
      <c r="E891" s="17" t="s">
        <v>3</v>
      </c>
      <c r="F891" s="17" t="s">
        <v>4</v>
      </c>
      <c r="G891" s="39">
        <f>G892+G898</f>
        <v>4500.8</v>
      </c>
      <c r="H891" s="39">
        <f t="shared" ref="H891:I894" si="439">H892</f>
        <v>3798.2999999999997</v>
      </c>
      <c r="I891" s="39">
        <f t="shared" si="439"/>
        <v>3798.2999999999997</v>
      </c>
      <c r="J891" s="1"/>
    </row>
    <row r="892" spans="1:10" ht="47.25" outlineLevel="3">
      <c r="A892" s="18" t="s">
        <v>471</v>
      </c>
      <c r="B892" s="19" t="s">
        <v>470</v>
      </c>
      <c r="C892" s="20" t="s">
        <v>106</v>
      </c>
      <c r="D892" s="20" t="s">
        <v>600</v>
      </c>
      <c r="E892" s="20" t="s">
        <v>472</v>
      </c>
      <c r="F892" s="20" t="s">
        <v>4</v>
      </c>
      <c r="G892" s="40">
        <f>G893</f>
        <v>4411.8</v>
      </c>
      <c r="H892" s="40">
        <f t="shared" si="439"/>
        <v>3798.2999999999997</v>
      </c>
      <c r="I892" s="40">
        <f t="shared" si="439"/>
        <v>3798.2999999999997</v>
      </c>
      <c r="J892" s="1"/>
    </row>
    <row r="893" spans="1:10" ht="31.5" outlineLevel="4">
      <c r="A893" s="18" t="s">
        <v>11</v>
      </c>
      <c r="B893" s="19" t="s">
        <v>470</v>
      </c>
      <c r="C893" s="20" t="s">
        <v>106</v>
      </c>
      <c r="D893" s="20" t="s">
        <v>600</v>
      </c>
      <c r="E893" s="20" t="s">
        <v>498</v>
      </c>
      <c r="F893" s="20" t="s">
        <v>4</v>
      </c>
      <c r="G893" s="40">
        <f>G894</f>
        <v>4411.8</v>
      </c>
      <c r="H893" s="40">
        <f t="shared" si="439"/>
        <v>3798.2999999999997</v>
      </c>
      <c r="I893" s="40">
        <f t="shared" si="439"/>
        <v>3798.2999999999997</v>
      </c>
      <c r="J893" s="1"/>
    </row>
    <row r="894" spans="1:10" ht="63" outlineLevel="5">
      <c r="A894" s="18" t="s">
        <v>601</v>
      </c>
      <c r="B894" s="19" t="s">
        <v>470</v>
      </c>
      <c r="C894" s="20" t="s">
        <v>106</v>
      </c>
      <c r="D894" s="20" t="s">
        <v>600</v>
      </c>
      <c r="E894" s="20" t="s">
        <v>602</v>
      </c>
      <c r="F894" s="20" t="s">
        <v>4</v>
      </c>
      <c r="G894" s="40">
        <f>G895</f>
        <v>4411.8</v>
      </c>
      <c r="H894" s="40">
        <f t="shared" si="439"/>
        <v>3798.2999999999997</v>
      </c>
      <c r="I894" s="40">
        <f t="shared" si="439"/>
        <v>3798.2999999999997</v>
      </c>
      <c r="J894" s="1"/>
    </row>
    <row r="895" spans="1:10" ht="78.75" outlineLevel="6">
      <c r="A895" s="18" t="s">
        <v>603</v>
      </c>
      <c r="B895" s="19" t="s">
        <v>470</v>
      </c>
      <c r="C895" s="20" t="s">
        <v>106</v>
      </c>
      <c r="D895" s="20" t="s">
        <v>600</v>
      </c>
      <c r="E895" s="20" t="s">
        <v>604</v>
      </c>
      <c r="F895" s="20" t="s">
        <v>4</v>
      </c>
      <c r="G895" s="40">
        <f>G896+G897</f>
        <v>4411.8</v>
      </c>
      <c r="H895" s="40">
        <f t="shared" ref="H895:I895" si="440">H896+H897</f>
        <v>3798.2999999999997</v>
      </c>
      <c r="I895" s="40">
        <f t="shared" si="440"/>
        <v>3798.2999999999997</v>
      </c>
      <c r="J895" s="1"/>
    </row>
    <row r="896" spans="1:10" ht="129" customHeight="1" outlineLevel="7">
      <c r="A896" s="18" t="s">
        <v>17</v>
      </c>
      <c r="B896" s="19" t="s">
        <v>470</v>
      </c>
      <c r="C896" s="20" t="s">
        <v>106</v>
      </c>
      <c r="D896" s="20" t="s">
        <v>600</v>
      </c>
      <c r="E896" s="20" t="s">
        <v>604</v>
      </c>
      <c r="F896" s="20" t="s">
        <v>18</v>
      </c>
      <c r="G896" s="40">
        <f>3369.7+121.9+491.6-23.2</f>
        <v>3960</v>
      </c>
      <c r="H896" s="40">
        <v>3369.7</v>
      </c>
      <c r="I896" s="40">
        <v>3369.7</v>
      </c>
      <c r="J896" s="1"/>
    </row>
    <row r="897" spans="1:10" ht="63" outlineLevel="7">
      <c r="A897" s="18" t="s">
        <v>27</v>
      </c>
      <c r="B897" s="19" t="s">
        <v>470</v>
      </c>
      <c r="C897" s="20" t="s">
        <v>106</v>
      </c>
      <c r="D897" s="20" t="s">
        <v>600</v>
      </c>
      <c r="E897" s="20" t="s">
        <v>604</v>
      </c>
      <c r="F897" s="20" t="s">
        <v>28</v>
      </c>
      <c r="G897" s="40">
        <f>428.6+23.2</f>
        <v>451.8</v>
      </c>
      <c r="H897" s="40">
        <v>428.6</v>
      </c>
      <c r="I897" s="40">
        <v>428.6</v>
      </c>
      <c r="J897" s="1"/>
    </row>
    <row r="898" spans="1:10" ht="31.5" outlineLevel="7">
      <c r="A898" s="18" t="s">
        <v>140</v>
      </c>
      <c r="B898" s="19" t="s">
        <v>470</v>
      </c>
      <c r="C898" s="20" t="s">
        <v>106</v>
      </c>
      <c r="D898" s="20" t="s">
        <v>600</v>
      </c>
      <c r="E898" s="20" t="s">
        <v>141</v>
      </c>
      <c r="F898" s="20" t="s">
        <v>4</v>
      </c>
      <c r="G898" s="40">
        <f t="shared" ref="G898:G899" si="441">G899</f>
        <v>89</v>
      </c>
      <c r="H898" s="40">
        <f t="shared" ref="H898:H899" si="442">H899</f>
        <v>0</v>
      </c>
      <c r="I898" s="40">
        <f t="shared" ref="I898:I899" si="443">I899</f>
        <v>0</v>
      </c>
      <c r="J898" s="1"/>
    </row>
    <row r="899" spans="1:10" ht="15.75" outlineLevel="7">
      <c r="A899" s="18" t="s">
        <v>142</v>
      </c>
      <c r="B899" s="19" t="s">
        <v>470</v>
      </c>
      <c r="C899" s="20" t="s">
        <v>106</v>
      </c>
      <c r="D899" s="20" t="s">
        <v>600</v>
      </c>
      <c r="E899" s="20" t="s">
        <v>143</v>
      </c>
      <c r="F899" s="20" t="s">
        <v>4</v>
      </c>
      <c r="G899" s="40">
        <f t="shared" si="441"/>
        <v>89</v>
      </c>
      <c r="H899" s="40">
        <f t="shared" si="442"/>
        <v>0</v>
      </c>
      <c r="I899" s="40">
        <f t="shared" si="443"/>
        <v>0</v>
      </c>
      <c r="J899" s="1"/>
    </row>
    <row r="900" spans="1:10" ht="94.5" outlineLevel="7">
      <c r="A900" s="21" t="s">
        <v>769</v>
      </c>
      <c r="B900" s="19" t="s">
        <v>470</v>
      </c>
      <c r="C900" s="20" t="s">
        <v>106</v>
      </c>
      <c r="D900" s="20" t="s">
        <v>600</v>
      </c>
      <c r="E900" s="23">
        <v>9990055491</v>
      </c>
      <c r="F900" s="19" t="s">
        <v>4</v>
      </c>
      <c r="G900" s="40">
        <f>G901</f>
        <v>89</v>
      </c>
      <c r="H900" s="40">
        <f>H901</f>
        <v>0</v>
      </c>
      <c r="I900" s="40">
        <f>I901</f>
        <v>0</v>
      </c>
      <c r="J900" s="1"/>
    </row>
    <row r="901" spans="1:10" ht="131.25" customHeight="1" outlineLevel="7">
      <c r="A901" s="18" t="s">
        <v>17</v>
      </c>
      <c r="B901" s="19" t="s">
        <v>470</v>
      </c>
      <c r="C901" s="20" t="s">
        <v>106</v>
      </c>
      <c r="D901" s="20" t="s">
        <v>600</v>
      </c>
      <c r="E901" s="23">
        <v>9990055491</v>
      </c>
      <c r="F901" s="19" t="s">
        <v>18</v>
      </c>
      <c r="G901" s="40">
        <v>89</v>
      </c>
      <c r="H901" s="40">
        <v>0</v>
      </c>
      <c r="I901" s="40">
        <v>0</v>
      </c>
      <c r="J901" s="1"/>
    </row>
    <row r="902" spans="1:10" ht="31.5">
      <c r="A902" s="12" t="s">
        <v>605</v>
      </c>
      <c r="B902" s="13" t="s">
        <v>606</v>
      </c>
      <c r="C902" s="14" t="s">
        <v>2</v>
      </c>
      <c r="D902" s="14" t="s">
        <v>2</v>
      </c>
      <c r="E902" s="14" t="s">
        <v>3</v>
      </c>
      <c r="F902" s="14" t="s">
        <v>4</v>
      </c>
      <c r="G902" s="38">
        <f>G903</f>
        <v>4418.1000000000004</v>
      </c>
      <c r="H902" s="38">
        <f t="shared" ref="H902:I902" si="444">H903</f>
        <v>4102.5</v>
      </c>
      <c r="I902" s="38">
        <f t="shared" si="444"/>
        <v>4102.5</v>
      </c>
      <c r="J902" s="1"/>
    </row>
    <row r="903" spans="1:10" ht="15.75" outlineLevel="1">
      <c r="A903" s="12" t="s">
        <v>336</v>
      </c>
      <c r="B903" s="13" t="s">
        <v>606</v>
      </c>
      <c r="C903" s="14" t="s">
        <v>337</v>
      </c>
      <c r="D903" s="14" t="s">
        <v>2</v>
      </c>
      <c r="E903" s="14" t="s">
        <v>3</v>
      </c>
      <c r="F903" s="14" t="s">
        <v>4</v>
      </c>
      <c r="G903" s="38">
        <f>G904+G923</f>
        <v>4418.1000000000004</v>
      </c>
      <c r="H903" s="38">
        <f t="shared" ref="H903:I903" si="445">H904+H923</f>
        <v>4102.5</v>
      </c>
      <c r="I903" s="38">
        <f t="shared" si="445"/>
        <v>4102.5</v>
      </c>
      <c r="J903" s="1"/>
    </row>
    <row r="904" spans="1:10" ht="15.75" outlineLevel="2">
      <c r="A904" s="15" t="s">
        <v>567</v>
      </c>
      <c r="B904" s="16" t="s">
        <v>606</v>
      </c>
      <c r="C904" s="17" t="s">
        <v>337</v>
      </c>
      <c r="D904" s="17" t="s">
        <v>337</v>
      </c>
      <c r="E904" s="17" t="s">
        <v>3</v>
      </c>
      <c r="F904" s="17" t="s">
        <v>4</v>
      </c>
      <c r="G904" s="39">
        <f>G905+G910</f>
        <v>660</v>
      </c>
      <c r="H904" s="39">
        <f t="shared" ref="H904:I904" si="446">H905+H910</f>
        <v>767</v>
      </c>
      <c r="I904" s="39">
        <f t="shared" si="446"/>
        <v>767</v>
      </c>
      <c r="J904" s="1"/>
    </row>
    <row r="905" spans="1:10" ht="78.75" outlineLevel="3">
      <c r="A905" s="18" t="s">
        <v>354</v>
      </c>
      <c r="B905" s="19" t="s">
        <v>606</v>
      </c>
      <c r="C905" s="20" t="s">
        <v>337</v>
      </c>
      <c r="D905" s="20" t="s">
        <v>337</v>
      </c>
      <c r="E905" s="20" t="s">
        <v>355</v>
      </c>
      <c r="F905" s="20" t="s">
        <v>4</v>
      </c>
      <c r="G905" s="40">
        <f>G906</f>
        <v>3</v>
      </c>
      <c r="H905" s="40">
        <f t="shared" ref="H905:I905" si="447">H906</f>
        <v>3</v>
      </c>
      <c r="I905" s="40">
        <f t="shared" si="447"/>
        <v>3</v>
      </c>
      <c r="J905" s="1"/>
    </row>
    <row r="906" spans="1:10" ht="31.5" outlineLevel="4">
      <c r="A906" s="18" t="s">
        <v>11</v>
      </c>
      <c r="B906" s="19" t="s">
        <v>606</v>
      </c>
      <c r="C906" s="20" t="s">
        <v>337</v>
      </c>
      <c r="D906" s="20" t="s">
        <v>337</v>
      </c>
      <c r="E906" s="20" t="s">
        <v>356</v>
      </c>
      <c r="F906" s="20" t="s">
        <v>4</v>
      </c>
      <c r="G906" s="40">
        <f>G907</f>
        <v>3</v>
      </c>
      <c r="H906" s="40">
        <f t="shared" ref="H906:I908" si="448">H907</f>
        <v>3</v>
      </c>
      <c r="I906" s="40">
        <f t="shared" si="448"/>
        <v>3</v>
      </c>
      <c r="J906" s="1"/>
    </row>
    <row r="907" spans="1:10" ht="94.5" outlineLevel="5">
      <c r="A907" s="18" t="s">
        <v>554</v>
      </c>
      <c r="B907" s="19" t="s">
        <v>606</v>
      </c>
      <c r="C907" s="20" t="s">
        <v>337</v>
      </c>
      <c r="D907" s="20" t="s">
        <v>337</v>
      </c>
      <c r="E907" s="20" t="s">
        <v>555</v>
      </c>
      <c r="F907" s="20" t="s">
        <v>4</v>
      </c>
      <c r="G907" s="40">
        <f>G908</f>
        <v>3</v>
      </c>
      <c r="H907" s="40">
        <f t="shared" si="448"/>
        <v>3</v>
      </c>
      <c r="I907" s="40">
        <f t="shared" si="448"/>
        <v>3</v>
      </c>
      <c r="J907" s="1"/>
    </row>
    <row r="908" spans="1:10" ht="63" outlineLevel="6">
      <c r="A908" s="18" t="s">
        <v>556</v>
      </c>
      <c r="B908" s="19" t="s">
        <v>606</v>
      </c>
      <c r="C908" s="20" t="s">
        <v>337</v>
      </c>
      <c r="D908" s="20" t="s">
        <v>337</v>
      </c>
      <c r="E908" s="20" t="s">
        <v>557</v>
      </c>
      <c r="F908" s="20" t="s">
        <v>4</v>
      </c>
      <c r="G908" s="40">
        <f>G909</f>
        <v>3</v>
      </c>
      <c r="H908" s="40">
        <f t="shared" si="448"/>
        <v>3</v>
      </c>
      <c r="I908" s="40">
        <f t="shared" si="448"/>
        <v>3</v>
      </c>
      <c r="J908" s="1"/>
    </row>
    <row r="909" spans="1:10" ht="63" outlineLevel="7">
      <c r="A909" s="18" t="s">
        <v>27</v>
      </c>
      <c r="B909" s="19" t="s">
        <v>606</v>
      </c>
      <c r="C909" s="20" t="s">
        <v>337</v>
      </c>
      <c r="D909" s="20" t="s">
        <v>337</v>
      </c>
      <c r="E909" s="20" t="s">
        <v>557</v>
      </c>
      <c r="F909" s="20" t="s">
        <v>28</v>
      </c>
      <c r="G909" s="40">
        <v>3</v>
      </c>
      <c r="H909" s="40">
        <v>3</v>
      </c>
      <c r="I909" s="40">
        <v>3</v>
      </c>
      <c r="J909" s="1"/>
    </row>
    <row r="910" spans="1:10" ht="47.25" outlineLevel="3">
      <c r="A910" s="18" t="s">
        <v>607</v>
      </c>
      <c r="B910" s="19" t="s">
        <v>606</v>
      </c>
      <c r="C910" s="20" t="s">
        <v>337</v>
      </c>
      <c r="D910" s="20" t="s">
        <v>337</v>
      </c>
      <c r="E910" s="20" t="s">
        <v>608</v>
      </c>
      <c r="F910" s="20" t="s">
        <v>4</v>
      </c>
      <c r="G910" s="40">
        <f>G915+G911</f>
        <v>657</v>
      </c>
      <c r="H910" s="40">
        <f>H915</f>
        <v>764</v>
      </c>
      <c r="I910" s="40">
        <f>I915</f>
        <v>764</v>
      </c>
      <c r="J910" s="1"/>
    </row>
    <row r="911" spans="1:10" ht="47.25" outlineLevel="3">
      <c r="A911" s="25" t="s">
        <v>725</v>
      </c>
      <c r="B911" s="19" t="s">
        <v>606</v>
      </c>
      <c r="C911" s="20" t="s">
        <v>337</v>
      </c>
      <c r="D911" s="20" t="s">
        <v>337</v>
      </c>
      <c r="E911" s="24" t="s">
        <v>726</v>
      </c>
      <c r="F911" s="20" t="s">
        <v>4</v>
      </c>
      <c r="G911" s="40">
        <f>G912</f>
        <v>380</v>
      </c>
      <c r="H911" s="40">
        <f t="shared" ref="H911:I913" si="449">H912</f>
        <v>0</v>
      </c>
      <c r="I911" s="40">
        <f t="shared" si="449"/>
        <v>0</v>
      </c>
      <c r="J911" s="1"/>
    </row>
    <row r="912" spans="1:10" ht="99.75" customHeight="1" outlineLevel="3">
      <c r="A912" s="25" t="s">
        <v>727</v>
      </c>
      <c r="B912" s="19" t="s">
        <v>606</v>
      </c>
      <c r="C912" s="20" t="s">
        <v>337</v>
      </c>
      <c r="D912" s="20" t="s">
        <v>337</v>
      </c>
      <c r="E912" s="24" t="s">
        <v>728</v>
      </c>
      <c r="F912" s="20" t="s">
        <v>4</v>
      </c>
      <c r="G912" s="40">
        <f>G913</f>
        <v>380</v>
      </c>
      <c r="H912" s="40">
        <f t="shared" si="449"/>
        <v>0</v>
      </c>
      <c r="I912" s="40">
        <f t="shared" si="449"/>
        <v>0</v>
      </c>
      <c r="J912" s="1"/>
    </row>
    <row r="913" spans="1:10" ht="47.25" outlineLevel="3">
      <c r="A913" s="25" t="s">
        <v>729</v>
      </c>
      <c r="B913" s="19" t="s">
        <v>606</v>
      </c>
      <c r="C913" s="20" t="s">
        <v>337</v>
      </c>
      <c r="D913" s="20" t="s">
        <v>337</v>
      </c>
      <c r="E913" s="24" t="s">
        <v>730</v>
      </c>
      <c r="F913" s="20" t="s">
        <v>4</v>
      </c>
      <c r="G913" s="40">
        <f>G914</f>
        <v>380</v>
      </c>
      <c r="H913" s="40">
        <f t="shared" si="449"/>
        <v>0</v>
      </c>
      <c r="I913" s="40">
        <f t="shared" si="449"/>
        <v>0</v>
      </c>
      <c r="J913" s="1"/>
    </row>
    <row r="914" spans="1:10" ht="47.25" outlineLevel="3">
      <c r="A914" s="25" t="s">
        <v>680</v>
      </c>
      <c r="B914" s="19" t="s">
        <v>606</v>
      </c>
      <c r="C914" s="20" t="s">
        <v>337</v>
      </c>
      <c r="D914" s="20" t="s">
        <v>337</v>
      </c>
      <c r="E914" s="24" t="s">
        <v>730</v>
      </c>
      <c r="F914" s="20" t="s">
        <v>28</v>
      </c>
      <c r="G914" s="40">
        <f>170+210</f>
        <v>380</v>
      </c>
      <c r="H914" s="40">
        <v>0</v>
      </c>
      <c r="I914" s="40">
        <v>0</v>
      </c>
      <c r="J914" s="1"/>
    </row>
    <row r="915" spans="1:10" ht="31.5" outlineLevel="4">
      <c r="A915" s="18" t="s">
        <v>11</v>
      </c>
      <c r="B915" s="19" t="s">
        <v>606</v>
      </c>
      <c r="C915" s="20" t="s">
        <v>337</v>
      </c>
      <c r="D915" s="20" t="s">
        <v>337</v>
      </c>
      <c r="E915" s="20" t="s">
        <v>609</v>
      </c>
      <c r="F915" s="20" t="s">
        <v>4</v>
      </c>
      <c r="G915" s="40">
        <f>G916</f>
        <v>277</v>
      </c>
      <c r="H915" s="40">
        <f t="shared" ref="H915:I915" si="450">H916</f>
        <v>764</v>
      </c>
      <c r="I915" s="40">
        <f t="shared" si="450"/>
        <v>764</v>
      </c>
      <c r="J915" s="1"/>
    </row>
    <row r="916" spans="1:10" ht="78.75" outlineLevel="5">
      <c r="A916" s="18" t="s">
        <v>610</v>
      </c>
      <c r="B916" s="19" t="s">
        <v>606</v>
      </c>
      <c r="C916" s="20" t="s">
        <v>337</v>
      </c>
      <c r="D916" s="20" t="s">
        <v>337</v>
      </c>
      <c r="E916" s="20" t="s">
        <v>611</v>
      </c>
      <c r="F916" s="20" t="s">
        <v>4</v>
      </c>
      <c r="G916" s="40">
        <f>G917+G919+G921</f>
        <v>277</v>
      </c>
      <c r="H916" s="40">
        <f t="shared" ref="H916:I916" si="451">H917+H919+H921</f>
        <v>764</v>
      </c>
      <c r="I916" s="40">
        <f t="shared" si="451"/>
        <v>764</v>
      </c>
      <c r="J916" s="1"/>
    </row>
    <row r="917" spans="1:10" ht="47.25" outlineLevel="6">
      <c r="A917" s="18" t="s">
        <v>378</v>
      </c>
      <c r="B917" s="19" t="s">
        <v>606</v>
      </c>
      <c r="C917" s="20" t="s">
        <v>337</v>
      </c>
      <c r="D917" s="20" t="s">
        <v>337</v>
      </c>
      <c r="E917" s="20" t="s">
        <v>612</v>
      </c>
      <c r="F917" s="20" t="s">
        <v>4</v>
      </c>
      <c r="G917" s="40">
        <f>G918</f>
        <v>3</v>
      </c>
      <c r="H917" s="40">
        <f t="shared" ref="H917:I917" si="452">H918</f>
        <v>3</v>
      </c>
      <c r="I917" s="40">
        <f t="shared" si="452"/>
        <v>3</v>
      </c>
      <c r="J917" s="1"/>
    </row>
    <row r="918" spans="1:10" ht="63" outlineLevel="7">
      <c r="A918" s="18" t="s">
        <v>27</v>
      </c>
      <c r="B918" s="19" t="s">
        <v>606</v>
      </c>
      <c r="C918" s="20" t="s">
        <v>337</v>
      </c>
      <c r="D918" s="20" t="s">
        <v>337</v>
      </c>
      <c r="E918" s="20" t="s">
        <v>612</v>
      </c>
      <c r="F918" s="20" t="s">
        <v>28</v>
      </c>
      <c r="G918" s="40">
        <v>3</v>
      </c>
      <c r="H918" s="40">
        <v>3</v>
      </c>
      <c r="I918" s="40">
        <v>3</v>
      </c>
      <c r="J918" s="1"/>
    </row>
    <row r="919" spans="1:10" ht="47.25" outlineLevel="6">
      <c r="A919" s="18" t="s">
        <v>613</v>
      </c>
      <c r="B919" s="19" t="s">
        <v>606</v>
      </c>
      <c r="C919" s="20" t="s">
        <v>337</v>
      </c>
      <c r="D919" s="20" t="s">
        <v>337</v>
      </c>
      <c r="E919" s="20" t="s">
        <v>614</v>
      </c>
      <c r="F919" s="20" t="s">
        <v>4</v>
      </c>
      <c r="G919" s="40">
        <f>G920</f>
        <v>175</v>
      </c>
      <c r="H919" s="40">
        <f t="shared" ref="H919:I919" si="453">H920</f>
        <v>662</v>
      </c>
      <c r="I919" s="40">
        <f t="shared" si="453"/>
        <v>662</v>
      </c>
      <c r="J919" s="1"/>
    </row>
    <row r="920" spans="1:10" ht="63" outlineLevel="7">
      <c r="A920" s="18" t="s">
        <v>27</v>
      </c>
      <c r="B920" s="19" t="s">
        <v>606</v>
      </c>
      <c r="C920" s="20" t="s">
        <v>337</v>
      </c>
      <c r="D920" s="20" t="s">
        <v>337</v>
      </c>
      <c r="E920" s="20" t="s">
        <v>614</v>
      </c>
      <c r="F920" s="20" t="s">
        <v>28</v>
      </c>
      <c r="G920" s="40">
        <f>662-487</f>
        <v>175</v>
      </c>
      <c r="H920" s="40">
        <v>662</v>
      </c>
      <c r="I920" s="40">
        <v>662</v>
      </c>
      <c r="J920" s="1"/>
    </row>
    <row r="921" spans="1:10" ht="126" outlineLevel="6">
      <c r="A921" s="18" t="s">
        <v>615</v>
      </c>
      <c r="B921" s="19" t="s">
        <v>606</v>
      </c>
      <c r="C921" s="20" t="s">
        <v>337</v>
      </c>
      <c r="D921" s="20" t="s">
        <v>337</v>
      </c>
      <c r="E921" s="20" t="s">
        <v>616</v>
      </c>
      <c r="F921" s="20" t="s">
        <v>4</v>
      </c>
      <c r="G921" s="40">
        <f>G922</f>
        <v>99</v>
      </c>
      <c r="H921" s="40">
        <f t="shared" ref="H921:I921" si="454">H922</f>
        <v>99</v>
      </c>
      <c r="I921" s="40">
        <f t="shared" si="454"/>
        <v>99</v>
      </c>
      <c r="J921" s="1"/>
    </row>
    <row r="922" spans="1:10" ht="31.5" outlineLevel="7">
      <c r="A922" s="18" t="s">
        <v>42</v>
      </c>
      <c r="B922" s="19" t="s">
        <v>606</v>
      </c>
      <c r="C922" s="20" t="s">
        <v>337</v>
      </c>
      <c r="D922" s="20" t="s">
        <v>337</v>
      </c>
      <c r="E922" s="20" t="s">
        <v>616</v>
      </c>
      <c r="F922" s="20" t="s">
        <v>43</v>
      </c>
      <c r="G922" s="40">
        <v>99</v>
      </c>
      <c r="H922" s="40">
        <v>99</v>
      </c>
      <c r="I922" s="40">
        <v>99</v>
      </c>
      <c r="J922" s="1"/>
    </row>
    <row r="923" spans="1:10" ht="31.5" outlineLevel="2">
      <c r="A923" s="15" t="s">
        <v>580</v>
      </c>
      <c r="B923" s="16" t="s">
        <v>606</v>
      </c>
      <c r="C923" s="17" t="s">
        <v>337</v>
      </c>
      <c r="D923" s="17" t="s">
        <v>176</v>
      </c>
      <c r="E923" s="17" t="s">
        <v>3</v>
      </c>
      <c r="F923" s="17" t="s">
        <v>4</v>
      </c>
      <c r="G923" s="39">
        <f>G924+G930</f>
        <v>3758.1</v>
      </c>
      <c r="H923" s="39">
        <f t="shared" ref="H923:I926" si="455">H924</f>
        <v>3335.5</v>
      </c>
      <c r="I923" s="39">
        <f t="shared" si="455"/>
        <v>3335.5</v>
      </c>
      <c r="J923" s="1"/>
    </row>
    <row r="924" spans="1:10" ht="47.25" outlineLevel="3">
      <c r="A924" s="18" t="s">
        <v>607</v>
      </c>
      <c r="B924" s="19" t="s">
        <v>606</v>
      </c>
      <c r="C924" s="20" t="s">
        <v>337</v>
      </c>
      <c r="D924" s="20" t="s">
        <v>176</v>
      </c>
      <c r="E924" s="20" t="s">
        <v>608</v>
      </c>
      <c r="F924" s="20" t="s">
        <v>4</v>
      </c>
      <c r="G924" s="40">
        <f>G925</f>
        <v>3679.6</v>
      </c>
      <c r="H924" s="40">
        <f t="shared" si="455"/>
        <v>3335.5</v>
      </c>
      <c r="I924" s="40">
        <f t="shared" si="455"/>
        <v>3335.5</v>
      </c>
      <c r="J924" s="1"/>
    </row>
    <row r="925" spans="1:10" ht="31.5" outlineLevel="4">
      <c r="A925" s="18" t="s">
        <v>11</v>
      </c>
      <c r="B925" s="19" t="s">
        <v>606</v>
      </c>
      <c r="C925" s="20" t="s">
        <v>337</v>
      </c>
      <c r="D925" s="20" t="s">
        <v>176</v>
      </c>
      <c r="E925" s="20" t="s">
        <v>609</v>
      </c>
      <c r="F925" s="20" t="s">
        <v>4</v>
      </c>
      <c r="G925" s="40">
        <f>G926</f>
        <v>3679.6</v>
      </c>
      <c r="H925" s="40">
        <f t="shared" si="455"/>
        <v>3335.5</v>
      </c>
      <c r="I925" s="40">
        <f t="shared" si="455"/>
        <v>3335.5</v>
      </c>
      <c r="J925" s="1"/>
    </row>
    <row r="926" spans="1:10" ht="63" outlineLevel="5">
      <c r="A926" s="18" t="s">
        <v>69</v>
      </c>
      <c r="B926" s="19" t="s">
        <v>606</v>
      </c>
      <c r="C926" s="20" t="s">
        <v>337</v>
      </c>
      <c r="D926" s="20" t="s">
        <v>176</v>
      </c>
      <c r="E926" s="20" t="s">
        <v>617</v>
      </c>
      <c r="F926" s="20" t="s">
        <v>4</v>
      </c>
      <c r="G926" s="40">
        <f>G927</f>
        <v>3679.6</v>
      </c>
      <c r="H926" s="40">
        <f t="shared" si="455"/>
        <v>3335.5</v>
      </c>
      <c r="I926" s="40">
        <f t="shared" si="455"/>
        <v>3335.5</v>
      </c>
      <c r="J926" s="1"/>
    </row>
    <row r="927" spans="1:10" ht="47.25" outlineLevel="6">
      <c r="A927" s="18" t="s">
        <v>21</v>
      </c>
      <c r="B927" s="19" t="s">
        <v>606</v>
      </c>
      <c r="C927" s="20" t="s">
        <v>337</v>
      </c>
      <c r="D927" s="20" t="s">
        <v>176</v>
      </c>
      <c r="E927" s="20" t="s">
        <v>618</v>
      </c>
      <c r="F927" s="20" t="s">
        <v>4</v>
      </c>
      <c r="G927" s="40">
        <f>G928+G929</f>
        <v>3679.6</v>
      </c>
      <c r="H927" s="40">
        <f t="shared" ref="H927:I927" si="456">H928+H929</f>
        <v>3335.5</v>
      </c>
      <c r="I927" s="40">
        <f t="shared" si="456"/>
        <v>3335.5</v>
      </c>
      <c r="J927" s="1"/>
    </row>
    <row r="928" spans="1:10" ht="127.5" customHeight="1" outlineLevel="7">
      <c r="A928" s="18" t="s">
        <v>17</v>
      </c>
      <c r="B928" s="19" t="s">
        <v>606</v>
      </c>
      <c r="C928" s="20" t="s">
        <v>337</v>
      </c>
      <c r="D928" s="20" t="s">
        <v>176</v>
      </c>
      <c r="E928" s="20" t="s">
        <v>618</v>
      </c>
      <c r="F928" s="20" t="s">
        <v>18</v>
      </c>
      <c r="G928" s="40">
        <f>3292.7+118.5+528.6-303</f>
        <v>3636.7999999999997</v>
      </c>
      <c r="H928" s="40">
        <v>3292.7</v>
      </c>
      <c r="I928" s="40">
        <v>3292.7</v>
      </c>
      <c r="J928" s="1"/>
    </row>
    <row r="929" spans="1:10" ht="63" outlineLevel="7">
      <c r="A929" s="18" t="s">
        <v>27</v>
      </c>
      <c r="B929" s="19" t="s">
        <v>606</v>
      </c>
      <c r="C929" s="20" t="s">
        <v>337</v>
      </c>
      <c r="D929" s="20" t="s">
        <v>176</v>
      </c>
      <c r="E929" s="20" t="s">
        <v>618</v>
      </c>
      <c r="F929" s="20" t="s">
        <v>28</v>
      </c>
      <c r="G929" s="40">
        <v>42.8</v>
      </c>
      <c r="H929" s="40">
        <v>42.8</v>
      </c>
      <c r="I929" s="40">
        <v>42.8</v>
      </c>
      <c r="J929" s="1"/>
    </row>
    <row r="930" spans="1:10" ht="31.5" outlineLevel="7">
      <c r="A930" s="18" t="s">
        <v>140</v>
      </c>
      <c r="B930" s="19" t="s">
        <v>606</v>
      </c>
      <c r="C930" s="20" t="s">
        <v>337</v>
      </c>
      <c r="D930" s="20" t="s">
        <v>176</v>
      </c>
      <c r="E930" s="20" t="s">
        <v>141</v>
      </c>
      <c r="F930" s="20" t="s">
        <v>4</v>
      </c>
      <c r="G930" s="40">
        <f t="shared" ref="G930:G931" si="457">G931</f>
        <v>78.5</v>
      </c>
      <c r="H930" s="40">
        <f t="shared" ref="H930:H931" si="458">H931</f>
        <v>0</v>
      </c>
      <c r="I930" s="40">
        <f t="shared" ref="I930:I931" si="459">I931</f>
        <v>0</v>
      </c>
      <c r="J930" s="1"/>
    </row>
    <row r="931" spans="1:10" ht="15.75" outlineLevel="7">
      <c r="A931" s="18" t="s">
        <v>142</v>
      </c>
      <c r="B931" s="19" t="s">
        <v>606</v>
      </c>
      <c r="C931" s="20" t="s">
        <v>337</v>
      </c>
      <c r="D931" s="20" t="s">
        <v>176</v>
      </c>
      <c r="E931" s="20" t="s">
        <v>143</v>
      </c>
      <c r="F931" s="20" t="s">
        <v>4</v>
      </c>
      <c r="G931" s="40">
        <f t="shared" si="457"/>
        <v>78.5</v>
      </c>
      <c r="H931" s="40">
        <f t="shared" si="458"/>
        <v>0</v>
      </c>
      <c r="I931" s="40">
        <f t="shared" si="459"/>
        <v>0</v>
      </c>
      <c r="J931" s="1"/>
    </row>
    <row r="932" spans="1:10" ht="94.5" outlineLevel="7">
      <c r="A932" s="21" t="s">
        <v>769</v>
      </c>
      <c r="B932" s="19" t="s">
        <v>606</v>
      </c>
      <c r="C932" s="20" t="s">
        <v>337</v>
      </c>
      <c r="D932" s="20" t="s">
        <v>176</v>
      </c>
      <c r="E932" s="23">
        <v>9990055491</v>
      </c>
      <c r="F932" s="19" t="s">
        <v>4</v>
      </c>
      <c r="G932" s="40">
        <f>G933</f>
        <v>78.5</v>
      </c>
      <c r="H932" s="40">
        <f>H933</f>
        <v>0</v>
      </c>
      <c r="I932" s="40">
        <f>I933</f>
        <v>0</v>
      </c>
      <c r="J932" s="1"/>
    </row>
    <row r="933" spans="1:10" ht="129.75" customHeight="1" outlineLevel="7">
      <c r="A933" s="18" t="s">
        <v>17</v>
      </c>
      <c r="B933" s="19" t="s">
        <v>606</v>
      </c>
      <c r="C933" s="20" t="s">
        <v>337</v>
      </c>
      <c r="D933" s="20" t="s">
        <v>176</v>
      </c>
      <c r="E933" s="23">
        <v>9990055491</v>
      </c>
      <c r="F933" s="19" t="s">
        <v>18</v>
      </c>
      <c r="G933" s="40">
        <v>78.5</v>
      </c>
      <c r="H933" s="40">
        <v>0</v>
      </c>
      <c r="I933" s="40">
        <v>0</v>
      </c>
      <c r="J933" s="1"/>
    </row>
    <row r="934" spans="1:10" ht="31.5">
      <c r="A934" s="12" t="s">
        <v>619</v>
      </c>
      <c r="B934" s="13" t="s">
        <v>620</v>
      </c>
      <c r="C934" s="14" t="s">
        <v>2</v>
      </c>
      <c r="D934" s="14" t="s">
        <v>2</v>
      </c>
      <c r="E934" s="14" t="s">
        <v>3</v>
      </c>
      <c r="F934" s="14" t="s">
        <v>4</v>
      </c>
      <c r="G934" s="38">
        <f>G935+G959</f>
        <v>16622.7</v>
      </c>
      <c r="H934" s="38">
        <f t="shared" ref="H934:I934" si="460">H935+H959</f>
        <v>15444.8</v>
      </c>
      <c r="I934" s="38">
        <f t="shared" si="460"/>
        <v>19779</v>
      </c>
      <c r="J934" s="1"/>
    </row>
    <row r="935" spans="1:10" ht="31.5" outlineLevel="1">
      <c r="A935" s="12" t="s">
        <v>5</v>
      </c>
      <c r="B935" s="13" t="s">
        <v>620</v>
      </c>
      <c r="C935" s="14" t="s">
        <v>6</v>
      </c>
      <c r="D935" s="14" t="s">
        <v>2</v>
      </c>
      <c r="E935" s="14" t="s">
        <v>3</v>
      </c>
      <c r="F935" s="14" t="s">
        <v>4</v>
      </c>
      <c r="G935" s="38">
        <f>G936+G947+G953</f>
        <v>16459</v>
      </c>
      <c r="H935" s="38">
        <f t="shared" ref="H935:I935" si="461">H936+H947+H953</f>
        <v>15292.9</v>
      </c>
      <c r="I935" s="38">
        <f t="shared" si="461"/>
        <v>19571.2</v>
      </c>
      <c r="J935" s="1"/>
    </row>
    <row r="936" spans="1:10" ht="78.75" outlineLevel="2">
      <c r="A936" s="15" t="s">
        <v>621</v>
      </c>
      <c r="B936" s="16" t="s">
        <v>620</v>
      </c>
      <c r="C936" s="17" t="s">
        <v>6</v>
      </c>
      <c r="D936" s="17" t="s">
        <v>600</v>
      </c>
      <c r="E936" s="17" t="s">
        <v>3</v>
      </c>
      <c r="F936" s="17" t="s">
        <v>4</v>
      </c>
      <c r="G936" s="39">
        <f>G937+G943</f>
        <v>15582.1</v>
      </c>
      <c r="H936" s="39">
        <f t="shared" ref="H936:I936" si="462">H937</f>
        <v>13082.8</v>
      </c>
      <c r="I936" s="39">
        <f t="shared" si="462"/>
        <v>13082.8</v>
      </c>
      <c r="J936" s="1"/>
    </row>
    <row r="937" spans="1:10" ht="66" customHeight="1" outlineLevel="3">
      <c r="A937" s="18" t="s">
        <v>50</v>
      </c>
      <c r="B937" s="19" t="s">
        <v>620</v>
      </c>
      <c r="C937" s="20" t="s">
        <v>6</v>
      </c>
      <c r="D937" s="20" t="s">
        <v>600</v>
      </c>
      <c r="E937" s="20" t="s">
        <v>51</v>
      </c>
      <c r="F937" s="20" t="s">
        <v>4</v>
      </c>
      <c r="G937" s="40">
        <f>G938</f>
        <v>15205.4</v>
      </c>
      <c r="H937" s="40">
        <f t="shared" ref="H937:I939" si="463">H938</f>
        <v>13082.8</v>
      </c>
      <c r="I937" s="40">
        <f t="shared" si="463"/>
        <v>13082.8</v>
      </c>
      <c r="J937" s="1"/>
    </row>
    <row r="938" spans="1:10" ht="31.5" outlineLevel="4">
      <c r="A938" s="18" t="s">
        <v>11</v>
      </c>
      <c r="B938" s="19" t="s">
        <v>620</v>
      </c>
      <c r="C938" s="20" t="s">
        <v>6</v>
      </c>
      <c r="D938" s="20" t="s">
        <v>600</v>
      </c>
      <c r="E938" s="20" t="s">
        <v>52</v>
      </c>
      <c r="F938" s="20" t="s">
        <v>4</v>
      </c>
      <c r="G938" s="40">
        <f>G939</f>
        <v>15205.4</v>
      </c>
      <c r="H938" s="40">
        <f t="shared" si="463"/>
        <v>13082.8</v>
      </c>
      <c r="I938" s="40">
        <f t="shared" si="463"/>
        <v>13082.8</v>
      </c>
      <c r="J938" s="1"/>
    </row>
    <row r="939" spans="1:10" ht="94.5" outlineLevel="5">
      <c r="A939" s="18" t="s">
        <v>622</v>
      </c>
      <c r="B939" s="19" t="s">
        <v>620</v>
      </c>
      <c r="C939" s="20" t="s">
        <v>6</v>
      </c>
      <c r="D939" s="20" t="s">
        <v>600</v>
      </c>
      <c r="E939" s="20" t="s">
        <v>623</v>
      </c>
      <c r="F939" s="20" t="s">
        <v>4</v>
      </c>
      <c r="G939" s="40">
        <f>G940</f>
        <v>15205.4</v>
      </c>
      <c r="H939" s="40">
        <f t="shared" si="463"/>
        <v>13082.8</v>
      </c>
      <c r="I939" s="40">
        <f t="shared" si="463"/>
        <v>13082.8</v>
      </c>
      <c r="J939" s="1"/>
    </row>
    <row r="940" spans="1:10" ht="47.25" outlineLevel="6">
      <c r="A940" s="18" t="s">
        <v>21</v>
      </c>
      <c r="B940" s="19" t="s">
        <v>620</v>
      </c>
      <c r="C940" s="20" t="s">
        <v>6</v>
      </c>
      <c r="D940" s="20" t="s">
        <v>600</v>
      </c>
      <c r="E940" s="20" t="s">
        <v>624</v>
      </c>
      <c r="F940" s="20" t="s">
        <v>4</v>
      </c>
      <c r="G940" s="40">
        <f>G941+G942</f>
        <v>15205.4</v>
      </c>
      <c r="H940" s="40">
        <f t="shared" ref="H940:I940" si="464">H941+H942</f>
        <v>13082.8</v>
      </c>
      <c r="I940" s="40">
        <f t="shared" si="464"/>
        <v>13082.8</v>
      </c>
      <c r="J940" s="1"/>
    </row>
    <row r="941" spans="1:10" ht="129" customHeight="1" outlineLevel="7">
      <c r="A941" s="18" t="s">
        <v>17</v>
      </c>
      <c r="B941" s="19" t="s">
        <v>620</v>
      </c>
      <c r="C941" s="20" t="s">
        <v>6</v>
      </c>
      <c r="D941" s="20" t="s">
        <v>600</v>
      </c>
      <c r="E941" s="20" t="s">
        <v>624</v>
      </c>
      <c r="F941" s="20" t="s">
        <v>18</v>
      </c>
      <c r="G941" s="40">
        <f>12675.8+456.6+2036-370</f>
        <v>14798.4</v>
      </c>
      <c r="H941" s="40">
        <v>12675.8</v>
      </c>
      <c r="I941" s="40">
        <v>12675.8</v>
      </c>
      <c r="J941" s="1"/>
    </row>
    <row r="942" spans="1:10" ht="63" outlineLevel="7">
      <c r="A942" s="18" t="s">
        <v>27</v>
      </c>
      <c r="B942" s="19" t="s">
        <v>620</v>
      </c>
      <c r="C942" s="20" t="s">
        <v>6</v>
      </c>
      <c r="D942" s="20" t="s">
        <v>600</v>
      </c>
      <c r="E942" s="20" t="s">
        <v>624</v>
      </c>
      <c r="F942" s="20" t="s">
        <v>28</v>
      </c>
      <c r="G942" s="40">
        <v>407</v>
      </c>
      <c r="H942" s="40">
        <v>407</v>
      </c>
      <c r="I942" s="40">
        <v>407</v>
      </c>
      <c r="J942" s="1"/>
    </row>
    <row r="943" spans="1:10" ht="31.5" outlineLevel="7">
      <c r="A943" s="18" t="s">
        <v>140</v>
      </c>
      <c r="B943" s="19" t="s">
        <v>620</v>
      </c>
      <c r="C943" s="20" t="s">
        <v>6</v>
      </c>
      <c r="D943" s="20" t="s">
        <v>600</v>
      </c>
      <c r="E943" s="20" t="s">
        <v>141</v>
      </c>
      <c r="F943" s="20" t="s">
        <v>4</v>
      </c>
      <c r="G943" s="40">
        <f t="shared" ref="G943:G944" si="465">G944</f>
        <v>376.7</v>
      </c>
      <c r="H943" s="40">
        <f t="shared" ref="H943:H944" si="466">H944</f>
        <v>0</v>
      </c>
      <c r="I943" s="40">
        <f t="shared" ref="I943:I944" si="467">I944</f>
        <v>0</v>
      </c>
      <c r="J943" s="1"/>
    </row>
    <row r="944" spans="1:10" ht="15.75" outlineLevel="7">
      <c r="A944" s="18" t="s">
        <v>142</v>
      </c>
      <c r="B944" s="19" t="s">
        <v>620</v>
      </c>
      <c r="C944" s="20" t="s">
        <v>6</v>
      </c>
      <c r="D944" s="20" t="s">
        <v>600</v>
      </c>
      <c r="E944" s="20" t="s">
        <v>143</v>
      </c>
      <c r="F944" s="20" t="s">
        <v>4</v>
      </c>
      <c r="G944" s="40">
        <f t="shared" si="465"/>
        <v>376.7</v>
      </c>
      <c r="H944" s="40">
        <f t="shared" si="466"/>
        <v>0</v>
      </c>
      <c r="I944" s="40">
        <f t="shared" si="467"/>
        <v>0</v>
      </c>
      <c r="J944" s="1"/>
    </row>
    <row r="945" spans="1:10" ht="94.5" outlineLevel="7">
      <c r="A945" s="21" t="s">
        <v>769</v>
      </c>
      <c r="B945" s="19" t="s">
        <v>620</v>
      </c>
      <c r="C945" s="20" t="s">
        <v>6</v>
      </c>
      <c r="D945" s="20" t="s">
        <v>600</v>
      </c>
      <c r="E945" s="23">
        <v>9990055491</v>
      </c>
      <c r="F945" s="19" t="s">
        <v>4</v>
      </c>
      <c r="G945" s="40">
        <f>G946</f>
        <v>376.7</v>
      </c>
      <c r="H945" s="40">
        <f>H946</f>
        <v>0</v>
      </c>
      <c r="I945" s="40">
        <f>I946</f>
        <v>0</v>
      </c>
      <c r="J945" s="1"/>
    </row>
    <row r="946" spans="1:10" ht="128.25" customHeight="1" outlineLevel="7">
      <c r="A946" s="18" t="s">
        <v>17</v>
      </c>
      <c r="B946" s="19" t="s">
        <v>620</v>
      </c>
      <c r="C946" s="20" t="s">
        <v>6</v>
      </c>
      <c r="D946" s="20" t="s">
        <v>600</v>
      </c>
      <c r="E946" s="23">
        <v>9990055491</v>
      </c>
      <c r="F946" s="19" t="s">
        <v>18</v>
      </c>
      <c r="G946" s="40">
        <v>376.7</v>
      </c>
      <c r="H946" s="40">
        <v>0</v>
      </c>
      <c r="I946" s="40">
        <v>0</v>
      </c>
      <c r="J946" s="1"/>
    </row>
    <row r="947" spans="1:10" ht="15.75" outlineLevel="2">
      <c r="A947" s="15" t="s">
        <v>625</v>
      </c>
      <c r="B947" s="16" t="s">
        <v>620</v>
      </c>
      <c r="C947" s="17" t="s">
        <v>6</v>
      </c>
      <c r="D947" s="17" t="s">
        <v>427</v>
      </c>
      <c r="E947" s="17" t="s">
        <v>3</v>
      </c>
      <c r="F947" s="17" t="s">
        <v>4</v>
      </c>
      <c r="G947" s="39">
        <f>G948</f>
        <v>876.9</v>
      </c>
      <c r="H947" s="39">
        <f t="shared" ref="H947:I951" si="468">H948</f>
        <v>1210.0999999999999</v>
      </c>
      <c r="I947" s="39">
        <f t="shared" si="468"/>
        <v>5488.4000000000005</v>
      </c>
      <c r="J947" s="1"/>
    </row>
    <row r="948" spans="1:10" ht="62.25" customHeight="1" outlineLevel="3">
      <c r="A948" s="18" t="s">
        <v>50</v>
      </c>
      <c r="B948" s="19" t="s">
        <v>620</v>
      </c>
      <c r="C948" s="20" t="s">
        <v>6</v>
      </c>
      <c r="D948" s="20" t="s">
        <v>427</v>
      </c>
      <c r="E948" s="20" t="s">
        <v>51</v>
      </c>
      <c r="F948" s="20" t="s">
        <v>4</v>
      </c>
      <c r="G948" s="40">
        <f>G949</f>
        <v>876.9</v>
      </c>
      <c r="H948" s="40">
        <f t="shared" si="468"/>
        <v>1210.0999999999999</v>
      </c>
      <c r="I948" s="40">
        <f t="shared" si="468"/>
        <v>5488.4000000000005</v>
      </c>
      <c r="J948" s="1"/>
    </row>
    <row r="949" spans="1:10" ht="31.5" outlineLevel="4">
      <c r="A949" s="18" t="s">
        <v>11</v>
      </c>
      <c r="B949" s="19" t="s">
        <v>620</v>
      </c>
      <c r="C949" s="20" t="s">
        <v>6</v>
      </c>
      <c r="D949" s="20" t="s">
        <v>427</v>
      </c>
      <c r="E949" s="20" t="s">
        <v>52</v>
      </c>
      <c r="F949" s="20" t="s">
        <v>4</v>
      </c>
      <c r="G949" s="40">
        <f>G950</f>
        <v>876.9</v>
      </c>
      <c r="H949" s="40">
        <f t="shared" si="468"/>
        <v>1210.0999999999999</v>
      </c>
      <c r="I949" s="40">
        <f t="shared" si="468"/>
        <v>5488.4000000000005</v>
      </c>
      <c r="J949" s="1"/>
    </row>
    <row r="950" spans="1:10" ht="79.5" customHeight="1" outlineLevel="5">
      <c r="A950" s="18" t="s">
        <v>626</v>
      </c>
      <c r="B950" s="19" t="s">
        <v>620</v>
      </c>
      <c r="C950" s="20" t="s">
        <v>6</v>
      </c>
      <c r="D950" s="20" t="s">
        <v>427</v>
      </c>
      <c r="E950" s="20" t="s">
        <v>627</v>
      </c>
      <c r="F950" s="20" t="s">
        <v>4</v>
      </c>
      <c r="G950" s="40">
        <f>G951</f>
        <v>876.9</v>
      </c>
      <c r="H950" s="40">
        <f t="shared" si="468"/>
        <v>1210.0999999999999</v>
      </c>
      <c r="I950" s="40">
        <f t="shared" si="468"/>
        <v>5488.4000000000005</v>
      </c>
      <c r="J950" s="1"/>
    </row>
    <row r="951" spans="1:10" ht="63" outlineLevel="6">
      <c r="A951" s="18" t="s">
        <v>628</v>
      </c>
      <c r="B951" s="19" t="s">
        <v>620</v>
      </c>
      <c r="C951" s="20" t="s">
        <v>6</v>
      </c>
      <c r="D951" s="20" t="s">
        <v>427</v>
      </c>
      <c r="E951" s="20" t="s">
        <v>629</v>
      </c>
      <c r="F951" s="20" t="s">
        <v>4</v>
      </c>
      <c r="G951" s="40">
        <f>G952</f>
        <v>876.9</v>
      </c>
      <c r="H951" s="40">
        <f t="shared" si="468"/>
        <v>1210.0999999999999</v>
      </c>
      <c r="I951" s="40">
        <f t="shared" si="468"/>
        <v>5488.4000000000005</v>
      </c>
      <c r="J951" s="1"/>
    </row>
    <row r="952" spans="1:10" ht="31.5" outlineLevel="7">
      <c r="A952" s="18" t="s">
        <v>63</v>
      </c>
      <c r="B952" s="19" t="s">
        <v>620</v>
      </c>
      <c r="C952" s="20" t="s">
        <v>6</v>
      </c>
      <c r="D952" s="20" t="s">
        <v>427</v>
      </c>
      <c r="E952" s="20" t="s">
        <v>629</v>
      </c>
      <c r="F952" s="20" t="s">
        <v>64</v>
      </c>
      <c r="G952" s="40">
        <v>876.9</v>
      </c>
      <c r="H952" s="40">
        <f>891.3+318.8</f>
        <v>1210.0999999999999</v>
      </c>
      <c r="I952" s="40">
        <f>891.3+4597.1</f>
        <v>5488.4000000000005</v>
      </c>
      <c r="J952" s="1"/>
    </row>
    <row r="953" spans="1:10" ht="31.5" outlineLevel="2">
      <c r="A953" s="15" t="s">
        <v>48</v>
      </c>
      <c r="B953" s="16" t="s">
        <v>620</v>
      </c>
      <c r="C953" s="17" t="s">
        <v>6</v>
      </c>
      <c r="D953" s="17" t="s">
        <v>49</v>
      </c>
      <c r="E953" s="17" t="s">
        <v>3</v>
      </c>
      <c r="F953" s="17" t="s">
        <v>4</v>
      </c>
      <c r="G953" s="39">
        <f>G954</f>
        <v>0</v>
      </c>
      <c r="H953" s="39">
        <f t="shared" ref="H953:I957" si="469">H954</f>
        <v>1000</v>
      </c>
      <c r="I953" s="39">
        <f t="shared" si="469"/>
        <v>1000</v>
      </c>
      <c r="J953" s="1"/>
    </row>
    <row r="954" spans="1:10" ht="65.25" customHeight="1" outlineLevel="3">
      <c r="A954" s="18" t="s">
        <v>50</v>
      </c>
      <c r="B954" s="19" t="s">
        <v>620</v>
      </c>
      <c r="C954" s="20" t="s">
        <v>6</v>
      </c>
      <c r="D954" s="20" t="s">
        <v>49</v>
      </c>
      <c r="E954" s="20" t="s">
        <v>51</v>
      </c>
      <c r="F954" s="20" t="s">
        <v>4</v>
      </c>
      <c r="G954" s="40">
        <f>G955</f>
        <v>0</v>
      </c>
      <c r="H954" s="40">
        <f t="shared" si="469"/>
        <v>1000</v>
      </c>
      <c r="I954" s="40">
        <f t="shared" si="469"/>
        <v>1000</v>
      </c>
      <c r="J954" s="1"/>
    </row>
    <row r="955" spans="1:10" ht="31.5" outlineLevel="4">
      <c r="A955" s="18" t="s">
        <v>11</v>
      </c>
      <c r="B955" s="19" t="s">
        <v>620</v>
      </c>
      <c r="C955" s="20" t="s">
        <v>6</v>
      </c>
      <c r="D955" s="20" t="s">
        <v>49</v>
      </c>
      <c r="E955" s="20" t="s">
        <v>52</v>
      </c>
      <c r="F955" s="20" t="s">
        <v>4</v>
      </c>
      <c r="G955" s="40">
        <f>G956</f>
        <v>0</v>
      </c>
      <c r="H955" s="40">
        <f t="shared" si="469"/>
        <v>1000</v>
      </c>
      <c r="I955" s="40">
        <f t="shared" si="469"/>
        <v>1000</v>
      </c>
      <c r="J955" s="1"/>
    </row>
    <row r="956" spans="1:10" ht="78.75" outlineLevel="5">
      <c r="A956" s="18" t="s">
        <v>53</v>
      </c>
      <c r="B956" s="19" t="s">
        <v>620</v>
      </c>
      <c r="C956" s="20" t="s">
        <v>6</v>
      </c>
      <c r="D956" s="20" t="s">
        <v>49</v>
      </c>
      <c r="E956" s="20" t="s">
        <v>54</v>
      </c>
      <c r="F956" s="20" t="s">
        <v>4</v>
      </c>
      <c r="G956" s="40">
        <f>G957</f>
        <v>0</v>
      </c>
      <c r="H956" s="40">
        <f t="shared" si="469"/>
        <v>1000</v>
      </c>
      <c r="I956" s="40">
        <f t="shared" si="469"/>
        <v>1000</v>
      </c>
      <c r="J956" s="1"/>
    </row>
    <row r="957" spans="1:10" ht="63" customHeight="1" outlineLevel="6">
      <c r="A957" s="18" t="s">
        <v>55</v>
      </c>
      <c r="B957" s="19" t="s">
        <v>620</v>
      </c>
      <c r="C957" s="20" t="s">
        <v>6</v>
      </c>
      <c r="D957" s="20" t="s">
        <v>49</v>
      </c>
      <c r="E957" s="20" t="s">
        <v>56</v>
      </c>
      <c r="F957" s="20" t="s">
        <v>4</v>
      </c>
      <c r="G957" s="40">
        <f>G958</f>
        <v>0</v>
      </c>
      <c r="H957" s="40">
        <f t="shared" si="469"/>
        <v>1000</v>
      </c>
      <c r="I957" s="40">
        <f t="shared" si="469"/>
        <v>1000</v>
      </c>
      <c r="J957" s="1"/>
    </row>
    <row r="958" spans="1:10" ht="31.5" outlineLevel="7">
      <c r="A958" s="18" t="s">
        <v>63</v>
      </c>
      <c r="B958" s="19" t="s">
        <v>620</v>
      </c>
      <c r="C958" s="20" t="s">
        <v>6</v>
      </c>
      <c r="D958" s="20" t="s">
        <v>49</v>
      </c>
      <c r="E958" s="20" t="s">
        <v>56</v>
      </c>
      <c r="F958" s="20" t="s">
        <v>64</v>
      </c>
      <c r="G958" s="40">
        <v>0</v>
      </c>
      <c r="H958" s="40">
        <v>1000</v>
      </c>
      <c r="I958" s="40">
        <v>1000</v>
      </c>
      <c r="J958" s="1"/>
    </row>
    <row r="959" spans="1:10" ht="47.25" outlineLevel="1">
      <c r="A959" s="12" t="s">
        <v>630</v>
      </c>
      <c r="B959" s="13" t="s">
        <v>620</v>
      </c>
      <c r="C959" s="14" t="s">
        <v>49</v>
      </c>
      <c r="D959" s="14" t="s">
        <v>2</v>
      </c>
      <c r="E959" s="14" t="s">
        <v>3</v>
      </c>
      <c r="F959" s="14" t="s">
        <v>4</v>
      </c>
      <c r="G959" s="38">
        <f t="shared" ref="G959:G964" si="470">G960</f>
        <v>163.69999999999999</v>
      </c>
      <c r="H959" s="38">
        <f t="shared" ref="H959:I959" si="471">H960</f>
        <v>151.89999999999998</v>
      </c>
      <c r="I959" s="38">
        <f t="shared" si="471"/>
        <v>207.79999999999927</v>
      </c>
      <c r="J959" s="1"/>
    </row>
    <row r="960" spans="1:10" ht="31.5" outlineLevel="2">
      <c r="A960" s="15" t="s">
        <v>631</v>
      </c>
      <c r="B960" s="16" t="s">
        <v>620</v>
      </c>
      <c r="C960" s="17" t="s">
        <v>49</v>
      </c>
      <c r="D960" s="17" t="s">
        <v>6</v>
      </c>
      <c r="E960" s="17" t="s">
        <v>3</v>
      </c>
      <c r="F960" s="17" t="s">
        <v>4</v>
      </c>
      <c r="G960" s="39">
        <f t="shared" si="470"/>
        <v>163.69999999999999</v>
      </c>
      <c r="H960" s="39">
        <f t="shared" ref="H960:I964" si="472">H961</f>
        <v>151.89999999999998</v>
      </c>
      <c r="I960" s="39">
        <f t="shared" si="472"/>
        <v>207.79999999999927</v>
      </c>
      <c r="J960" s="1"/>
    </row>
    <row r="961" spans="1:10" ht="63.75" customHeight="1" outlineLevel="3">
      <c r="A961" s="18" t="s">
        <v>50</v>
      </c>
      <c r="B961" s="19" t="s">
        <v>620</v>
      </c>
      <c r="C961" s="20" t="s">
        <v>49</v>
      </c>
      <c r="D961" s="20" t="s">
        <v>6</v>
      </c>
      <c r="E961" s="20" t="s">
        <v>51</v>
      </c>
      <c r="F961" s="20" t="s">
        <v>4</v>
      </c>
      <c r="G961" s="40">
        <f t="shared" si="470"/>
        <v>163.69999999999999</v>
      </c>
      <c r="H961" s="40">
        <f t="shared" si="472"/>
        <v>151.89999999999998</v>
      </c>
      <c r="I961" s="40">
        <f t="shared" si="472"/>
        <v>207.79999999999927</v>
      </c>
      <c r="J961" s="1"/>
    </row>
    <row r="962" spans="1:10" ht="31.5" outlineLevel="4">
      <c r="A962" s="18" t="s">
        <v>11</v>
      </c>
      <c r="B962" s="19" t="s">
        <v>620</v>
      </c>
      <c r="C962" s="20" t="s">
        <v>49</v>
      </c>
      <c r="D962" s="20" t="s">
        <v>6</v>
      </c>
      <c r="E962" s="20" t="s">
        <v>52</v>
      </c>
      <c r="F962" s="20" t="s">
        <v>4</v>
      </c>
      <c r="G962" s="40">
        <f t="shared" si="470"/>
        <v>163.69999999999999</v>
      </c>
      <c r="H962" s="40">
        <f t="shared" si="472"/>
        <v>151.89999999999998</v>
      </c>
      <c r="I962" s="40">
        <f t="shared" si="472"/>
        <v>207.79999999999927</v>
      </c>
      <c r="J962" s="1"/>
    </row>
    <row r="963" spans="1:10" ht="90" customHeight="1" outlineLevel="5">
      <c r="A963" s="18" t="s">
        <v>632</v>
      </c>
      <c r="B963" s="19" t="s">
        <v>620</v>
      </c>
      <c r="C963" s="20" t="s">
        <v>49</v>
      </c>
      <c r="D963" s="20" t="s">
        <v>6</v>
      </c>
      <c r="E963" s="20" t="s">
        <v>633</v>
      </c>
      <c r="F963" s="20" t="s">
        <v>4</v>
      </c>
      <c r="G963" s="40">
        <f t="shared" si="470"/>
        <v>163.69999999999999</v>
      </c>
      <c r="H963" s="40">
        <f t="shared" si="472"/>
        <v>151.89999999999998</v>
      </c>
      <c r="I963" s="40">
        <f t="shared" si="472"/>
        <v>207.79999999999927</v>
      </c>
      <c r="J963" s="1"/>
    </row>
    <row r="964" spans="1:10" ht="50.25" customHeight="1" outlineLevel="6">
      <c r="A964" s="18" t="s">
        <v>634</v>
      </c>
      <c r="B964" s="19" t="s">
        <v>620</v>
      </c>
      <c r="C964" s="20" t="s">
        <v>49</v>
      </c>
      <c r="D964" s="20" t="s">
        <v>6</v>
      </c>
      <c r="E964" s="20" t="s">
        <v>635</v>
      </c>
      <c r="F964" s="20" t="s">
        <v>4</v>
      </c>
      <c r="G964" s="40">
        <f t="shared" si="470"/>
        <v>163.69999999999999</v>
      </c>
      <c r="H964" s="40">
        <f t="shared" si="472"/>
        <v>151.89999999999998</v>
      </c>
      <c r="I964" s="40">
        <f t="shared" si="472"/>
        <v>207.79999999999927</v>
      </c>
      <c r="J964" s="1"/>
    </row>
    <row r="965" spans="1:10" ht="64.5" customHeight="1" outlineLevel="7">
      <c r="A965" s="35" t="s">
        <v>636</v>
      </c>
      <c r="B965" s="36" t="s">
        <v>620</v>
      </c>
      <c r="C965" s="37" t="s">
        <v>49</v>
      </c>
      <c r="D965" s="37" t="s">
        <v>6</v>
      </c>
      <c r="E965" s="37" t="s">
        <v>635</v>
      </c>
      <c r="F965" s="37" t="s">
        <v>637</v>
      </c>
      <c r="G965" s="41">
        <f>152.5+11.2</f>
        <v>163.69999999999999</v>
      </c>
      <c r="H965" s="41">
        <f>470.7-318.8</f>
        <v>151.89999999999998</v>
      </c>
      <c r="I965" s="41">
        <f>4804.9-4597.1</f>
        <v>207.79999999999927</v>
      </c>
      <c r="J965" s="1"/>
    </row>
    <row r="966" spans="1:10" ht="17.45" customHeight="1">
      <c r="A966" s="52" t="s">
        <v>638</v>
      </c>
      <c r="B966" s="53"/>
      <c r="C966" s="53"/>
      <c r="D966" s="53"/>
      <c r="E966" s="53"/>
      <c r="F966" s="54"/>
      <c r="G966" s="42">
        <f>G10+G157+G177+G190+G372+G459+G549+G589+G683+G902+G934+G170</f>
        <v>3283063.3396500004</v>
      </c>
      <c r="H966" s="42">
        <f>H10+H157+H177+H190+H372+H459+H549+H589+H683+H902+H934</f>
        <v>2480854.0789999994</v>
      </c>
      <c r="I966" s="42">
        <f>I10+I157+I177+I190+I372+I459+I549+I589+I683+I902+I934</f>
        <v>2449456.6789999995</v>
      </c>
      <c r="J966" s="1"/>
    </row>
    <row r="967" spans="1:10" ht="12.75" customHeight="1">
      <c r="A967" s="7"/>
      <c r="B967" s="10"/>
      <c r="C967" s="7"/>
      <c r="D967" s="7"/>
      <c r="E967" s="7"/>
      <c r="F967" s="7"/>
      <c r="G967" s="11"/>
      <c r="H967" s="11"/>
      <c r="I967" s="11"/>
      <c r="J967" s="1"/>
    </row>
    <row r="968" spans="1:10">
      <c r="A968" s="49"/>
      <c r="B968" s="50"/>
      <c r="C968" s="50"/>
      <c r="D968" s="50"/>
      <c r="E968" s="50"/>
      <c r="F968" s="50"/>
      <c r="G968" s="50"/>
      <c r="H968" s="50"/>
      <c r="I968" s="50"/>
      <c r="J968" s="1"/>
    </row>
  </sheetData>
  <mergeCells count="8">
    <mergeCell ref="A6:I6"/>
    <mergeCell ref="A7:I7"/>
    <mergeCell ref="A8:I8"/>
    <mergeCell ref="A968:I968"/>
    <mergeCell ref="H1:I1"/>
    <mergeCell ref="G2:I2"/>
    <mergeCell ref="H3:I3"/>
    <mergeCell ref="A966:F966"/>
  </mergeCells>
  <pageMargins left="0.6692913385826772" right="0.27559055118110237" top="0.27559055118110237" bottom="0.23622047244094491" header="0.15748031496062992" footer="0.1574803149606299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D5B609-9CB6-42E3-86A8-D81BB1E7FB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2023-01-09T06:21:52Z</cp:lastPrinted>
  <dcterms:created xsi:type="dcterms:W3CDTF">2021-11-11T12:02:36Z</dcterms:created>
  <dcterms:modified xsi:type="dcterms:W3CDTF">2023-01-10T07:10:31Z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