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Финансовое управление\Савельева\НА САЙТ адм.о.Муром\решение Совета 296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Print_Titles" localSheetId="0">Документ!$7:$7</definedName>
  </definedNames>
  <calcPr calcId="152511"/>
</workbook>
</file>

<file path=xl/calcChain.xml><?xml version="1.0" encoding="utf-8"?>
<calcChain xmlns="http://schemas.openxmlformats.org/spreadsheetml/2006/main">
  <c r="F130" i="2" l="1"/>
  <c r="F335" i="2"/>
  <c r="F332" i="2"/>
  <c r="F662" i="2"/>
  <c r="F60" i="2"/>
  <c r="F58" i="2"/>
  <c r="H633" i="2"/>
  <c r="G633" i="2"/>
  <c r="F633" i="2"/>
  <c r="F26" i="2"/>
  <c r="H44" i="2"/>
  <c r="G44" i="2"/>
  <c r="F44" i="2"/>
  <c r="F68" i="2"/>
  <c r="F424" i="2"/>
  <c r="F422" i="2"/>
  <c r="F426" i="2"/>
  <c r="H631" i="2"/>
  <c r="H630" i="2" s="1"/>
  <c r="H629" i="2" s="1"/>
  <c r="G631" i="2"/>
  <c r="G630" i="2"/>
  <c r="G629" i="2" s="1"/>
  <c r="F631" i="2"/>
  <c r="F630" i="2" s="1"/>
  <c r="F629" i="2" s="1"/>
  <c r="F648" i="2"/>
  <c r="F647" i="2" s="1"/>
  <c r="F457" i="2"/>
  <c r="F490" i="2"/>
  <c r="H516" i="2"/>
  <c r="G516" i="2"/>
  <c r="F516" i="2"/>
  <c r="F500" i="2"/>
  <c r="F499" i="2" s="1"/>
  <c r="H499" i="2"/>
  <c r="G499" i="2"/>
  <c r="H198" i="2"/>
  <c r="G198" i="2"/>
  <c r="F198" i="2"/>
  <c r="H647" i="2"/>
  <c r="G647" i="2"/>
  <c r="H194" i="2"/>
  <c r="G194" i="2"/>
  <c r="F194" i="2"/>
  <c r="F49" i="2"/>
  <c r="F419" i="2"/>
  <c r="F21" i="2"/>
  <c r="F17" i="2"/>
  <c r="F274" i="2"/>
  <c r="F272" i="2"/>
  <c r="F236" i="2"/>
  <c r="F15" i="2"/>
  <c r="F628" i="2"/>
  <c r="F627" i="2" s="1"/>
  <c r="F38" i="2"/>
  <c r="F32" i="2"/>
  <c r="F94" i="2"/>
  <c r="H311" i="2"/>
  <c r="G311" i="2"/>
  <c r="F311" i="2"/>
  <c r="H259" i="2"/>
  <c r="G259" i="2"/>
  <c r="F259" i="2"/>
  <c r="H257" i="2"/>
  <c r="G257" i="2"/>
  <c r="F257" i="2"/>
  <c r="H273" i="2"/>
  <c r="G273" i="2"/>
  <c r="F273" i="2"/>
  <c r="H271" i="2"/>
  <c r="G271" i="2"/>
  <c r="F271" i="2"/>
  <c r="H283" i="2"/>
  <c r="G283" i="2"/>
  <c r="F283" i="2"/>
  <c r="F626" i="2"/>
  <c r="F625" i="2"/>
  <c r="H127" i="2"/>
  <c r="G127" i="2"/>
  <c r="F127" i="2"/>
  <c r="F468" i="2"/>
  <c r="F298" i="2"/>
  <c r="F286" i="2"/>
  <c r="F231" i="2"/>
  <c r="F138" i="2"/>
  <c r="F143" i="2"/>
  <c r="F137" i="2"/>
  <c r="F462" i="2"/>
  <c r="F461" i="2"/>
  <c r="H645" i="2"/>
  <c r="G645" i="2"/>
  <c r="F645" i="2"/>
  <c r="F656" i="2"/>
  <c r="F449" i="2"/>
  <c r="F445" i="2"/>
  <c r="H649" i="2"/>
  <c r="G649" i="2"/>
  <c r="F649" i="2"/>
  <c r="F398" i="2"/>
  <c r="H123" i="2"/>
  <c r="G123" i="2"/>
  <c r="F123" i="2"/>
  <c r="H655" i="2"/>
  <c r="G655" i="2"/>
  <c r="F655" i="2"/>
  <c r="F18" i="2"/>
  <c r="F35" i="2"/>
  <c r="F82" i="2"/>
  <c r="H53" i="2"/>
  <c r="G53" i="2"/>
  <c r="F53" i="2"/>
  <c r="H554" i="2"/>
  <c r="G554" i="2"/>
  <c r="F554" i="2"/>
  <c r="F539" i="2"/>
  <c r="F537" i="2"/>
  <c r="F513" i="2"/>
  <c r="F47" i="2"/>
  <c r="H627" i="2"/>
  <c r="G627" i="2"/>
  <c r="H267" i="2"/>
  <c r="G267" i="2"/>
  <c r="F267" i="2"/>
  <c r="F78" i="2"/>
  <c r="F407" i="2"/>
  <c r="F159" i="2"/>
  <c r="G155" i="2"/>
  <c r="G152" i="2"/>
  <c r="F152" i="2"/>
  <c r="G38" i="2"/>
  <c r="H31" i="2"/>
  <c r="G31" i="2"/>
  <c r="F31" i="2"/>
  <c r="F30" i="2"/>
  <c r="G26" i="2"/>
  <c r="H85" i="2"/>
  <c r="G85" i="2"/>
  <c r="F85" i="2"/>
  <c r="G68" i="2"/>
  <c r="F14" i="2"/>
  <c r="F12" i="2"/>
  <c r="F551" i="2"/>
  <c r="F547" i="2"/>
  <c r="F538" i="2"/>
  <c r="H180" i="2"/>
  <c r="G180" i="2"/>
  <c r="F180" i="2"/>
  <c r="H303" i="2"/>
  <c r="G303" i="2"/>
  <c r="F303" i="2"/>
  <c r="F385" i="2"/>
  <c r="F74" i="2"/>
  <c r="F617" i="2"/>
  <c r="F606" i="2"/>
  <c r="F413" i="2"/>
  <c r="F389" i="2"/>
  <c r="G662" i="2"/>
  <c r="H148" i="2"/>
  <c r="G148" i="2"/>
  <c r="F148" i="2"/>
  <c r="F155" i="2"/>
  <c r="F145" i="2"/>
  <c r="H146" i="2"/>
  <c r="G146" i="2"/>
  <c r="F146" i="2"/>
  <c r="H158" i="2"/>
  <c r="G158" i="2"/>
  <c r="F158" i="2"/>
  <c r="H154" i="2"/>
  <c r="G154" i="2"/>
  <c r="F154" i="2"/>
  <c r="F299" i="2"/>
  <c r="H144" i="2"/>
  <c r="G144" i="2"/>
  <c r="F144" i="2"/>
  <c r="H653" i="2"/>
  <c r="G653" i="2"/>
  <c r="F653" i="2"/>
  <c r="F297" i="2"/>
  <c r="F296" i="2"/>
  <c r="F342" i="2"/>
  <c r="F341" i="2"/>
  <c r="F338" i="2"/>
  <c r="H294" i="2"/>
  <c r="G294" i="2"/>
  <c r="F294" i="2"/>
  <c r="H293" i="2"/>
  <c r="G293" i="2"/>
  <c r="F293" i="2"/>
  <c r="F527" i="2"/>
  <c r="F209" i="2"/>
  <c r="F201" i="2"/>
  <c r="F19" i="2"/>
  <c r="F34" i="2"/>
  <c r="G100" i="2"/>
  <c r="F100" i="2"/>
  <c r="G97" i="2"/>
  <c r="H301" i="2"/>
  <c r="G301" i="2"/>
  <c r="F301" i="2"/>
  <c r="H239" i="2"/>
  <c r="G239" i="2"/>
  <c r="F239" i="2"/>
  <c r="H212" i="2"/>
  <c r="G212" i="2"/>
  <c r="F212" i="2"/>
  <c r="F72" i="2"/>
  <c r="F597" i="2" l="1"/>
  <c r="F594" i="2"/>
  <c r="F458" i="2" l="1"/>
  <c r="F157" i="2"/>
  <c r="F156" i="2" s="1"/>
  <c r="H142" i="2"/>
  <c r="G142" i="2"/>
  <c r="F142" i="2"/>
  <c r="F366" i="2"/>
  <c r="F25" i="2"/>
  <c r="H156" i="2"/>
  <c r="G156" i="2"/>
  <c r="H662" i="2" l="1"/>
  <c r="H41" i="2"/>
  <c r="G41" i="2"/>
  <c r="F41" i="2"/>
  <c r="H626" i="2" l="1"/>
  <c r="G626" i="2"/>
  <c r="H30" i="2"/>
  <c r="G30" i="2"/>
  <c r="F582" i="2"/>
  <c r="F581" i="2"/>
  <c r="F579" i="2"/>
  <c r="F578" i="2"/>
  <c r="G365" i="2"/>
  <c r="H365" i="2"/>
  <c r="F365" i="2"/>
  <c r="F526" i="2"/>
  <c r="G556" i="2"/>
  <c r="H556" i="2"/>
  <c r="F556" i="2"/>
  <c r="G456" i="2"/>
  <c r="H456" i="2"/>
  <c r="G460" i="2"/>
  <c r="H460" i="2"/>
  <c r="F460" i="2"/>
  <c r="F454" i="2"/>
  <c r="H455" i="2" l="1"/>
  <c r="G455" i="2"/>
  <c r="H167" i="2"/>
  <c r="G167" i="2"/>
  <c r="F167" i="2"/>
  <c r="H169" i="2"/>
  <c r="G169" i="2"/>
  <c r="F169" i="2"/>
  <c r="F163" i="2"/>
  <c r="F165" i="2"/>
  <c r="F29" i="2"/>
  <c r="H234" i="2"/>
  <c r="H233" i="2" s="1"/>
  <c r="H263" i="2"/>
  <c r="G263" i="2"/>
  <c r="F263" i="2"/>
  <c r="F624" i="2"/>
  <c r="F623" i="2" s="1"/>
  <c r="F401" i="2"/>
  <c r="H269" i="2"/>
  <c r="G269" i="2"/>
  <c r="F269" i="2"/>
  <c r="F403" i="2"/>
  <c r="F347" i="2"/>
  <c r="H296" i="2"/>
  <c r="G296" i="2"/>
  <c r="F322" i="2"/>
  <c r="H318" i="2"/>
  <c r="G318" i="2"/>
  <c r="G317" i="2" s="1"/>
  <c r="H317" i="2"/>
  <c r="F318" i="2"/>
  <c r="F317" i="2" s="1"/>
  <c r="H279" i="2"/>
  <c r="G279" i="2"/>
  <c r="F279" i="2"/>
  <c r="H276" i="2"/>
  <c r="H253" i="2"/>
  <c r="G253" i="2"/>
  <c r="F253" i="2"/>
  <c r="H229" i="2"/>
  <c r="H225" i="2"/>
  <c r="H224" i="2" s="1"/>
  <c r="H403" i="2"/>
  <c r="H402" i="2" s="1"/>
  <c r="H399" i="2" s="1"/>
  <c r="G403" i="2"/>
  <c r="G402" i="2" s="1"/>
  <c r="H401" i="2"/>
  <c r="G401" i="2"/>
  <c r="F437" i="2"/>
  <c r="F436" i="2" s="1"/>
  <c r="F433" i="2" s="1"/>
  <c r="F432" i="2"/>
  <c r="G24" i="2"/>
  <c r="F24" i="2"/>
  <c r="F23" i="2" s="1"/>
  <c r="F99" i="2"/>
  <c r="F98" i="2" s="1"/>
  <c r="H96" i="2"/>
  <c r="G96" i="2"/>
  <c r="H95" i="2"/>
  <c r="G95" i="2"/>
  <c r="F96" i="2"/>
  <c r="F95" i="2" s="1"/>
  <c r="H621" i="2"/>
  <c r="G621" i="2"/>
  <c r="G620" i="2" s="1"/>
  <c r="H620" i="2"/>
  <c r="F621" i="2"/>
  <c r="F620" i="2" s="1"/>
  <c r="H73" i="2"/>
  <c r="G73" i="2"/>
  <c r="F73" i="2"/>
  <c r="H71" i="2"/>
  <c r="G71" i="2"/>
  <c r="F71" i="2"/>
  <c r="F67" i="2"/>
  <c r="H11" i="2"/>
  <c r="G11" i="2"/>
  <c r="G10" i="2" s="1"/>
  <c r="F11" i="2"/>
  <c r="H16" i="2"/>
  <c r="G16" i="2"/>
  <c r="F16" i="2"/>
  <c r="H20" i="2"/>
  <c r="G20" i="2"/>
  <c r="F20" i="2"/>
  <c r="H27" i="2"/>
  <c r="G27" i="2"/>
  <c r="F27" i="2"/>
  <c r="H29" i="2"/>
  <c r="G29" i="2"/>
  <c r="H34" i="2"/>
  <c r="G34" i="2"/>
  <c r="G37" i="2"/>
  <c r="F37" i="2"/>
  <c r="H40" i="2"/>
  <c r="H39" i="2" s="1"/>
  <c r="G40" i="2"/>
  <c r="G39" i="2" s="1"/>
  <c r="F40" i="2"/>
  <c r="F39" i="2" s="1"/>
  <c r="H46" i="2"/>
  <c r="H43" i="2" s="1"/>
  <c r="G46" i="2"/>
  <c r="F46" i="2"/>
  <c r="H48" i="2"/>
  <c r="G48" i="2"/>
  <c r="F48" i="2"/>
  <c r="H51" i="2"/>
  <c r="G51" i="2"/>
  <c r="G50" i="2" s="1"/>
  <c r="H50" i="2"/>
  <c r="F51" i="2"/>
  <c r="F50" i="2" s="1"/>
  <c r="H57" i="2"/>
  <c r="G57" i="2"/>
  <c r="F57" i="2"/>
  <c r="H59" i="2"/>
  <c r="G59" i="2"/>
  <c r="F59" i="2"/>
  <c r="H61" i="2"/>
  <c r="G61" i="2"/>
  <c r="F61" i="2"/>
  <c r="H63" i="2"/>
  <c r="G63" i="2"/>
  <c r="F63" i="2"/>
  <c r="G67" i="2"/>
  <c r="H69" i="2"/>
  <c r="G69" i="2"/>
  <c r="F69" i="2"/>
  <c r="H77" i="2"/>
  <c r="H76" i="2" s="1"/>
  <c r="H75" i="2" s="1"/>
  <c r="G77" i="2"/>
  <c r="F77" i="2"/>
  <c r="H80" i="2"/>
  <c r="G80" i="2"/>
  <c r="F80" i="2"/>
  <c r="H87" i="2"/>
  <c r="G87" i="2"/>
  <c r="F87" i="2"/>
  <c r="F84" i="2" s="1"/>
  <c r="F83" i="2" s="1"/>
  <c r="H89" i="2"/>
  <c r="G89" i="2"/>
  <c r="F89" i="2"/>
  <c r="H93" i="2"/>
  <c r="H92" i="2" s="1"/>
  <c r="G93" i="2"/>
  <c r="G92" i="2" s="1"/>
  <c r="F93" i="2"/>
  <c r="F92" i="2" s="1"/>
  <c r="H99" i="2"/>
  <c r="H98" i="2" s="1"/>
  <c r="G99" i="2"/>
  <c r="G98" i="2"/>
  <c r="H103" i="2"/>
  <c r="H102" i="2" s="1"/>
  <c r="H101" i="2" s="1"/>
  <c r="G103" i="2"/>
  <c r="G102" i="2" s="1"/>
  <c r="F103" i="2"/>
  <c r="F102" i="2" s="1"/>
  <c r="H107" i="2"/>
  <c r="H106" i="2" s="1"/>
  <c r="G107" i="2"/>
  <c r="G106" i="2" s="1"/>
  <c r="F107" i="2"/>
  <c r="F106" i="2" s="1"/>
  <c r="H112" i="2"/>
  <c r="G112" i="2"/>
  <c r="F112" i="2"/>
  <c r="H115" i="2"/>
  <c r="G115" i="2"/>
  <c r="F115" i="2"/>
  <c r="H117" i="2"/>
  <c r="G117" i="2"/>
  <c r="F117" i="2"/>
  <c r="H121" i="2"/>
  <c r="G121" i="2"/>
  <c r="F121" i="2"/>
  <c r="H125" i="2"/>
  <c r="G125" i="2"/>
  <c r="F125" i="2"/>
  <c r="F120" i="2" s="1"/>
  <c r="H129" i="2"/>
  <c r="G129" i="2"/>
  <c r="F129" i="2"/>
  <c r="H132" i="2"/>
  <c r="G132" i="2"/>
  <c r="F132" i="2"/>
  <c r="H134" i="2"/>
  <c r="G134" i="2"/>
  <c r="F134" i="2"/>
  <c r="H136" i="2"/>
  <c r="G136" i="2"/>
  <c r="F136" i="2"/>
  <c r="H140" i="2"/>
  <c r="G140" i="2"/>
  <c r="G139" i="2" s="1"/>
  <c r="H139" i="2"/>
  <c r="F140" i="2"/>
  <c r="F139" i="2" s="1"/>
  <c r="H151" i="2"/>
  <c r="G151" i="2"/>
  <c r="H150" i="2"/>
  <c r="G150" i="2"/>
  <c r="F151" i="2"/>
  <c r="F150" i="2" s="1"/>
  <c r="H160" i="2"/>
  <c r="G160" i="2"/>
  <c r="F160" i="2"/>
  <c r="H162" i="2"/>
  <c r="G162" i="2"/>
  <c r="F162" i="2"/>
  <c r="H164" i="2"/>
  <c r="G164" i="2"/>
  <c r="F164" i="2"/>
  <c r="H166" i="2"/>
  <c r="G166" i="2"/>
  <c r="F166" i="2"/>
  <c r="H168" i="2"/>
  <c r="G168" i="2"/>
  <c r="F168" i="2"/>
  <c r="H170" i="2"/>
  <c r="G170" i="2"/>
  <c r="F170" i="2"/>
  <c r="H174" i="2"/>
  <c r="G174" i="2"/>
  <c r="F174" i="2"/>
  <c r="H176" i="2"/>
  <c r="G176" i="2"/>
  <c r="F176" i="2"/>
  <c r="H178" i="2"/>
  <c r="G178" i="2"/>
  <c r="F178" i="2"/>
  <c r="H183" i="2"/>
  <c r="H182" i="2" s="1"/>
  <c r="G183" i="2"/>
  <c r="G182" i="2" s="1"/>
  <c r="F183" i="2"/>
  <c r="F182" i="2" s="1"/>
  <c r="H189" i="2"/>
  <c r="H188" i="2" s="1"/>
  <c r="G189" i="2"/>
  <c r="G188" i="2" s="1"/>
  <c r="F189" i="2"/>
  <c r="F188" i="2" s="1"/>
  <c r="H193" i="2"/>
  <c r="H192" i="2" s="1"/>
  <c r="G193" i="2"/>
  <c r="G192" i="2" s="1"/>
  <c r="F193" i="2"/>
  <c r="F192" i="2" s="1"/>
  <c r="H197" i="2"/>
  <c r="H196" i="2" s="1"/>
  <c r="H195" i="2" s="1"/>
  <c r="G197" i="2"/>
  <c r="G196" i="2"/>
  <c r="G195" i="2" s="1"/>
  <c r="F197" i="2"/>
  <c r="F196" i="2" s="1"/>
  <c r="F195" i="2" s="1"/>
  <c r="H201" i="2"/>
  <c r="G201" i="2"/>
  <c r="G200" i="2" s="1"/>
  <c r="G199" i="2" s="1"/>
  <c r="H200" i="2"/>
  <c r="H199" i="2" s="1"/>
  <c r="F200" i="2"/>
  <c r="F199" i="2" s="1"/>
  <c r="H208" i="2"/>
  <c r="G208" i="2"/>
  <c r="F208" i="2"/>
  <c r="H210" i="2"/>
  <c r="G210" i="2"/>
  <c r="F210" i="2"/>
  <c r="H214" i="2"/>
  <c r="G214" i="2"/>
  <c r="F214" i="2"/>
  <c r="H216" i="2"/>
  <c r="G216" i="2"/>
  <c r="F216" i="2"/>
  <c r="H219" i="2"/>
  <c r="G219" i="2"/>
  <c r="F219" i="2"/>
  <c r="H222" i="2"/>
  <c r="G222" i="2"/>
  <c r="F222" i="2"/>
  <c r="G224" i="2"/>
  <c r="F224" i="2"/>
  <c r="H226" i="2"/>
  <c r="G226" i="2"/>
  <c r="F226" i="2"/>
  <c r="H228" i="2"/>
  <c r="G228" i="2"/>
  <c r="F228" i="2"/>
  <c r="H230" i="2"/>
  <c r="G230" i="2"/>
  <c r="F230" i="2"/>
  <c r="G233" i="2"/>
  <c r="F233" i="2"/>
  <c r="H235" i="2"/>
  <c r="G235" i="2"/>
  <c r="F235" i="2"/>
  <c r="H237" i="2"/>
  <c r="G237" i="2"/>
  <c r="F237" i="2"/>
  <c r="H241" i="2"/>
  <c r="G241" i="2"/>
  <c r="F241" i="2"/>
  <c r="H243" i="2"/>
  <c r="G243" i="2"/>
  <c r="F243" i="2"/>
  <c r="H245" i="2"/>
  <c r="G245" i="2"/>
  <c r="F245" i="2"/>
  <c r="H247" i="2"/>
  <c r="G247" i="2"/>
  <c r="F247" i="2"/>
  <c r="H249" i="2"/>
  <c r="G249" i="2"/>
  <c r="F249" i="2"/>
  <c r="H251" i="2"/>
  <c r="G251" i="2"/>
  <c r="F251" i="2"/>
  <c r="H255" i="2"/>
  <c r="G255" i="2"/>
  <c r="F255" i="2"/>
  <c r="H261" i="2"/>
  <c r="G261" i="2"/>
  <c r="F261" i="2"/>
  <c r="H265" i="2"/>
  <c r="G265" i="2"/>
  <c r="F265" i="2"/>
  <c r="H275" i="2"/>
  <c r="G275" i="2"/>
  <c r="F275" i="2"/>
  <c r="H277" i="2"/>
  <c r="G277" i="2"/>
  <c r="F277" i="2"/>
  <c r="H281" i="2"/>
  <c r="G281" i="2"/>
  <c r="F281" i="2"/>
  <c r="H285" i="2"/>
  <c r="G285" i="2"/>
  <c r="F285" i="2"/>
  <c r="H288" i="2"/>
  <c r="G288" i="2"/>
  <c r="F288" i="2"/>
  <c r="H290" i="2"/>
  <c r="G290" i="2"/>
  <c r="F290" i="2"/>
  <c r="H292" i="2"/>
  <c r="G292" i="2"/>
  <c r="F292" i="2"/>
  <c r="H295" i="2"/>
  <c r="G295" i="2"/>
  <c r="F295" i="2"/>
  <c r="H306" i="2"/>
  <c r="G306" i="2"/>
  <c r="F306" i="2"/>
  <c r="F300" i="2" s="1"/>
  <c r="H309" i="2"/>
  <c r="G309" i="2"/>
  <c r="F309" i="2"/>
  <c r="H313" i="2"/>
  <c r="G313" i="2"/>
  <c r="F313" i="2"/>
  <c r="H315" i="2"/>
  <c r="G315" i="2"/>
  <c r="F315" i="2"/>
  <c r="H321" i="2"/>
  <c r="H320" i="2" s="1"/>
  <c r="G321" i="2"/>
  <c r="G320" i="2" s="1"/>
  <c r="F321" i="2"/>
  <c r="F320" i="2" s="1"/>
  <c r="H324" i="2"/>
  <c r="G324" i="2"/>
  <c r="F324" i="2"/>
  <c r="H326" i="2"/>
  <c r="H323" i="2" s="1"/>
  <c r="G326" i="2"/>
  <c r="F326" i="2"/>
  <c r="H330" i="2"/>
  <c r="H329" i="2" s="1"/>
  <c r="H328" i="2" s="1"/>
  <c r="G330" i="2"/>
  <c r="F330" i="2"/>
  <c r="H333" i="2"/>
  <c r="G333" i="2"/>
  <c r="F333" i="2"/>
  <c r="H336" i="2"/>
  <c r="G336" i="2"/>
  <c r="F336" i="2"/>
  <c r="H340" i="2"/>
  <c r="H339" i="2" s="1"/>
  <c r="G340" i="2"/>
  <c r="G339" i="2" s="1"/>
  <c r="F340" i="2"/>
  <c r="F339" i="2" s="1"/>
  <c r="H345" i="2"/>
  <c r="G345" i="2"/>
  <c r="F345" i="2"/>
  <c r="H349" i="2"/>
  <c r="G349" i="2"/>
  <c r="F349" i="2"/>
  <c r="H352" i="2"/>
  <c r="G352" i="2"/>
  <c r="F352" i="2"/>
  <c r="H356" i="2"/>
  <c r="G356" i="2"/>
  <c r="F356" i="2"/>
  <c r="H362" i="2"/>
  <c r="H361" i="2" s="1"/>
  <c r="G362" i="2"/>
  <c r="F362" i="2"/>
  <c r="H367" i="2"/>
  <c r="G367" i="2"/>
  <c r="F367" i="2"/>
  <c r="H369" i="2"/>
  <c r="G369" i="2"/>
  <c r="F369" i="2"/>
  <c r="H371" i="2"/>
  <c r="G371" i="2"/>
  <c r="F371" i="2"/>
  <c r="H375" i="2"/>
  <c r="G375" i="2"/>
  <c r="F375" i="2"/>
  <c r="H377" i="2"/>
  <c r="G377" i="2"/>
  <c r="F377" i="2"/>
  <c r="F374" i="2" s="1"/>
  <c r="H380" i="2"/>
  <c r="G380" i="2"/>
  <c r="F380" i="2"/>
  <c r="H382" i="2"/>
  <c r="G382" i="2"/>
  <c r="F382" i="2"/>
  <c r="H384" i="2"/>
  <c r="G384" i="2"/>
  <c r="F384" i="2"/>
  <c r="H388" i="2"/>
  <c r="H387" i="2" s="1"/>
  <c r="H386" i="2" s="1"/>
  <c r="G388" i="2"/>
  <c r="G387" i="2" s="1"/>
  <c r="G386" i="2" s="1"/>
  <c r="F388" i="2"/>
  <c r="F387" i="2" s="1"/>
  <c r="F386" i="2" s="1"/>
  <c r="H392" i="2"/>
  <c r="G392" i="2"/>
  <c r="F392" i="2"/>
  <c r="H394" i="2"/>
  <c r="H391" i="2" s="1"/>
  <c r="G394" i="2"/>
  <c r="F394" i="2"/>
  <c r="H397" i="2"/>
  <c r="H396" i="2" s="1"/>
  <c r="G397" i="2"/>
  <c r="G396" i="2" s="1"/>
  <c r="F397" i="2"/>
  <c r="F396" i="2" s="1"/>
  <c r="H400" i="2"/>
  <c r="G400" i="2"/>
  <c r="F400" i="2"/>
  <c r="F402" i="2"/>
  <c r="H406" i="2"/>
  <c r="G406" i="2"/>
  <c r="F406" i="2"/>
  <c r="H408" i="2"/>
  <c r="G408" i="2"/>
  <c r="F408" i="2"/>
  <c r="H412" i="2"/>
  <c r="G412" i="2"/>
  <c r="F412" i="2"/>
  <c r="H414" i="2"/>
  <c r="G414" i="2"/>
  <c r="F414" i="2"/>
  <c r="H418" i="2"/>
  <c r="H417" i="2" s="1"/>
  <c r="G418" i="2"/>
  <c r="G417" i="2" s="1"/>
  <c r="F418" i="2"/>
  <c r="F417" i="2" s="1"/>
  <c r="H421" i="2"/>
  <c r="G421" i="2"/>
  <c r="F421" i="2"/>
  <c r="H423" i="2"/>
  <c r="G423" i="2"/>
  <c r="F423" i="2"/>
  <c r="H425" i="2"/>
  <c r="G425" i="2"/>
  <c r="F425" i="2"/>
  <c r="H429" i="2"/>
  <c r="G429" i="2"/>
  <c r="F429" i="2"/>
  <c r="H431" i="2"/>
  <c r="G431" i="2"/>
  <c r="F431" i="2"/>
  <c r="F428" i="2" s="1"/>
  <c r="H434" i="2"/>
  <c r="G434" i="2"/>
  <c r="G433" i="2" s="1"/>
  <c r="F434" i="2"/>
  <c r="H436" i="2"/>
  <c r="G436" i="2"/>
  <c r="H440" i="2"/>
  <c r="H439" i="2" s="1"/>
  <c r="H438" i="2" s="1"/>
  <c r="G440" i="2"/>
  <c r="G439" i="2" s="1"/>
  <c r="G438" i="2" s="1"/>
  <c r="F440" i="2"/>
  <c r="F439" i="2" s="1"/>
  <c r="F438" i="2" s="1"/>
  <c r="H444" i="2"/>
  <c r="G444" i="2"/>
  <c r="F444" i="2"/>
  <c r="H446" i="2"/>
  <c r="G446" i="2"/>
  <c r="F446" i="2"/>
  <c r="H448" i="2"/>
  <c r="G448" i="2"/>
  <c r="F448" i="2"/>
  <c r="H451" i="2"/>
  <c r="G451" i="2"/>
  <c r="F451" i="2"/>
  <c r="H453" i="2"/>
  <c r="G453" i="2"/>
  <c r="G450" i="2" s="1"/>
  <c r="F453" i="2"/>
  <c r="F456" i="2"/>
  <c r="F455" i="2" s="1"/>
  <c r="H465" i="2"/>
  <c r="G465" i="2"/>
  <c r="F465" i="2"/>
  <c r="H467" i="2"/>
  <c r="G467" i="2"/>
  <c r="F467" i="2"/>
  <c r="H470" i="2"/>
  <c r="G470" i="2"/>
  <c r="F470" i="2"/>
  <c r="H472" i="2"/>
  <c r="G472" i="2"/>
  <c r="F472" i="2"/>
  <c r="H474" i="2"/>
  <c r="G474" i="2"/>
  <c r="F474" i="2"/>
  <c r="H476" i="2"/>
  <c r="G476" i="2"/>
  <c r="F476" i="2"/>
  <c r="H478" i="2"/>
  <c r="G478" i="2"/>
  <c r="F478" i="2"/>
  <c r="H481" i="2"/>
  <c r="G481" i="2"/>
  <c r="F481" i="2"/>
  <c r="H483" i="2"/>
  <c r="G483" i="2"/>
  <c r="F483" i="2"/>
  <c r="H485" i="2"/>
  <c r="G485" i="2"/>
  <c r="F485" i="2"/>
  <c r="H487" i="2"/>
  <c r="G487" i="2"/>
  <c r="F487" i="2"/>
  <c r="H489" i="2"/>
  <c r="G489" i="2"/>
  <c r="F489" i="2"/>
  <c r="H491" i="2"/>
  <c r="G491" i="2"/>
  <c r="F491" i="2"/>
  <c r="H494" i="2"/>
  <c r="G494" i="2"/>
  <c r="F494" i="2"/>
  <c r="F493" i="2" s="1"/>
  <c r="H497" i="2"/>
  <c r="G497" i="2"/>
  <c r="F497" i="2"/>
  <c r="H501" i="2"/>
  <c r="G501" i="2"/>
  <c r="F501" i="2"/>
  <c r="H503" i="2"/>
  <c r="G503" i="2"/>
  <c r="F503" i="2"/>
  <c r="H507" i="2"/>
  <c r="H506" i="2" s="1"/>
  <c r="G507" i="2"/>
  <c r="G506" i="2" s="1"/>
  <c r="F507" i="2"/>
  <c r="F506" i="2" s="1"/>
  <c r="H512" i="2"/>
  <c r="G512" i="2"/>
  <c r="F512" i="2"/>
  <c r="H514" i="2"/>
  <c r="G514" i="2"/>
  <c r="F514" i="2"/>
  <c r="H518" i="2"/>
  <c r="G518" i="2"/>
  <c r="F518" i="2"/>
  <c r="H520" i="2"/>
  <c r="G520" i="2"/>
  <c r="F520" i="2"/>
  <c r="H523" i="2"/>
  <c r="G523" i="2"/>
  <c r="F523" i="2"/>
  <c r="H525" i="2"/>
  <c r="G525" i="2"/>
  <c r="F525" i="2"/>
  <c r="H528" i="2"/>
  <c r="G528" i="2"/>
  <c r="F528" i="2"/>
  <c r="H531" i="2"/>
  <c r="G531" i="2"/>
  <c r="F531" i="2"/>
  <c r="H536" i="2"/>
  <c r="G536" i="2"/>
  <c r="F536" i="2"/>
  <c r="H540" i="2"/>
  <c r="H535" i="2" s="1"/>
  <c r="G540" i="2"/>
  <c r="F540" i="2"/>
  <c r="H544" i="2"/>
  <c r="G544" i="2"/>
  <c r="F544" i="2"/>
  <c r="H546" i="2"/>
  <c r="G546" i="2"/>
  <c r="F546" i="2"/>
  <c r="H549" i="2"/>
  <c r="G549" i="2"/>
  <c r="F549" i="2"/>
  <c r="F548" i="2" s="1"/>
  <c r="H558" i="2"/>
  <c r="G558" i="2"/>
  <c r="F558" i="2"/>
  <c r="H561" i="2"/>
  <c r="H560" i="2" s="1"/>
  <c r="G561" i="2"/>
  <c r="G560" i="2" s="1"/>
  <c r="F561" i="2"/>
  <c r="F560" i="2" s="1"/>
  <c r="H565" i="2"/>
  <c r="H564" i="2" s="1"/>
  <c r="H563" i="2" s="1"/>
  <c r="G565" i="2"/>
  <c r="G564" i="2" s="1"/>
  <c r="G563" i="2" s="1"/>
  <c r="F565" i="2"/>
  <c r="F564" i="2" s="1"/>
  <c r="F563" i="2" s="1"/>
  <c r="H570" i="2"/>
  <c r="H569" i="2" s="1"/>
  <c r="H568" i="2" s="1"/>
  <c r="G570" i="2"/>
  <c r="G569" i="2" s="1"/>
  <c r="G568" i="2" s="1"/>
  <c r="F570" i="2"/>
  <c r="F569" i="2" s="1"/>
  <c r="F568" i="2" s="1"/>
  <c r="H574" i="2"/>
  <c r="G574" i="2"/>
  <c r="F574" i="2"/>
  <c r="H577" i="2"/>
  <c r="G577" i="2"/>
  <c r="F577" i="2"/>
  <c r="H580" i="2"/>
  <c r="G580" i="2"/>
  <c r="F580" i="2"/>
  <c r="H583" i="2"/>
  <c r="G583" i="2"/>
  <c r="F583" i="2"/>
  <c r="H585" i="2"/>
  <c r="G585" i="2"/>
  <c r="F585" i="2"/>
  <c r="H588" i="2"/>
  <c r="H587" i="2" s="1"/>
  <c r="G588" i="2"/>
  <c r="G587" i="2" s="1"/>
  <c r="F588" i="2"/>
  <c r="F587" i="2" s="1"/>
  <c r="H593" i="2"/>
  <c r="H592" i="2" s="1"/>
  <c r="G593" i="2"/>
  <c r="G592" i="2" s="1"/>
  <c r="F593" i="2"/>
  <c r="F592" i="2" s="1"/>
  <c r="H596" i="2"/>
  <c r="G596" i="2"/>
  <c r="F596" i="2"/>
  <c r="H598" i="2"/>
  <c r="G598" i="2"/>
  <c r="F598" i="2"/>
  <c r="H604" i="2"/>
  <c r="H603" i="2" s="1"/>
  <c r="G604" i="2"/>
  <c r="G603" i="2" s="1"/>
  <c r="F604" i="2"/>
  <c r="F603" i="2" s="1"/>
  <c r="H609" i="2"/>
  <c r="G609" i="2"/>
  <c r="H608" i="2"/>
  <c r="G608" i="2"/>
  <c r="F609" i="2"/>
  <c r="F608" i="2" s="1"/>
  <c r="H612" i="2"/>
  <c r="G612" i="2"/>
  <c r="G611" i="2" s="1"/>
  <c r="H611" i="2"/>
  <c r="F612" i="2"/>
  <c r="F611" i="2" s="1"/>
  <c r="H616" i="2"/>
  <c r="H615" i="2" s="1"/>
  <c r="H614" i="2" s="1"/>
  <c r="G616" i="2"/>
  <c r="G615" i="2" s="1"/>
  <c r="G614" i="2" s="1"/>
  <c r="F616" i="2"/>
  <c r="F615" i="2" s="1"/>
  <c r="F614" i="2" s="1"/>
  <c r="H624" i="2"/>
  <c r="G624" i="2"/>
  <c r="G623" i="2" s="1"/>
  <c r="G619" i="2" s="1"/>
  <c r="G618" i="2" s="1"/>
  <c r="H623" i="2"/>
  <c r="H619" i="2" s="1"/>
  <c r="H637" i="2"/>
  <c r="H636" i="2" s="1"/>
  <c r="H635" i="2" s="1"/>
  <c r="G637" i="2"/>
  <c r="G636" i="2" s="1"/>
  <c r="G635" i="2" s="1"/>
  <c r="F637" i="2"/>
  <c r="F636" i="2" s="1"/>
  <c r="F635" i="2" s="1"/>
  <c r="H641" i="2"/>
  <c r="G641" i="2"/>
  <c r="F641" i="2"/>
  <c r="H651" i="2"/>
  <c r="G651" i="2"/>
  <c r="F651" i="2"/>
  <c r="H657" i="2"/>
  <c r="G657" i="2"/>
  <c r="F657" i="2"/>
  <c r="H659" i="2"/>
  <c r="G659" i="2"/>
  <c r="F659" i="2"/>
  <c r="H68" i="2"/>
  <c r="H67" i="2" s="1"/>
  <c r="H38" i="2"/>
  <c r="H37" i="2" s="1"/>
  <c r="H26" i="2"/>
  <c r="H24" i="2" s="1"/>
  <c r="H23" i="2" s="1"/>
  <c r="F153" i="2" l="1"/>
  <c r="F640" i="2"/>
  <c r="F511" i="2"/>
  <c r="G464" i="2"/>
  <c r="F391" i="2"/>
  <c r="F232" i="2"/>
  <c r="G153" i="2"/>
  <c r="H131" i="2"/>
  <c r="G120" i="2"/>
  <c r="G91" i="2"/>
  <c r="H33" i="2"/>
  <c r="H602" i="2"/>
  <c r="H601" i="2" s="1"/>
  <c r="H573" i="2"/>
  <c r="F361" i="2"/>
  <c r="F173" i="2"/>
  <c r="G84" i="2"/>
  <c r="G83" i="2" s="1"/>
  <c r="F43" i="2"/>
  <c r="H374" i="2"/>
  <c r="F323" i="2"/>
  <c r="G300" i="2"/>
  <c r="H66" i="2"/>
  <c r="H65" i="2" s="1"/>
  <c r="G595" i="2"/>
  <c r="F464" i="2"/>
  <c r="F463" i="2" s="1"/>
  <c r="G374" i="2"/>
  <c r="G360" i="2" s="1"/>
  <c r="G361" i="2"/>
  <c r="G173" i="2"/>
  <c r="H84" i="2"/>
  <c r="H83" i="2" s="1"/>
  <c r="F42" i="2"/>
  <c r="F207" i="2"/>
  <c r="F131" i="2"/>
  <c r="F535" i="2"/>
  <c r="F287" i="2"/>
  <c r="H287" i="2"/>
  <c r="F76" i="2"/>
  <c r="F75" i="2" s="1"/>
  <c r="H572" i="2"/>
  <c r="F639" i="2"/>
  <c r="G640" i="2"/>
  <c r="G639" i="2" s="1"/>
  <c r="F595" i="2"/>
  <c r="F591" i="2" s="1"/>
  <c r="H595" i="2"/>
  <c r="H591" i="2" s="1"/>
  <c r="G548" i="2"/>
  <c r="G535" i="2"/>
  <c r="G522" i="2"/>
  <c r="H511" i="2"/>
  <c r="G493" i="2"/>
  <c r="H493" i="2"/>
  <c r="F469" i="2"/>
  <c r="H469" i="2"/>
  <c r="G469" i="2"/>
  <c r="H450" i="2"/>
  <c r="G428" i="2"/>
  <c r="G427" i="2" s="1"/>
  <c r="G420" i="2"/>
  <c r="F420" i="2"/>
  <c r="F416" i="2" s="1"/>
  <c r="H420" i="2"/>
  <c r="H416" i="2" s="1"/>
  <c r="G411" i="2"/>
  <c r="G410" i="2" s="1"/>
  <c r="F405" i="2"/>
  <c r="F404" i="2" s="1"/>
  <c r="G405" i="2"/>
  <c r="G404" i="2" s="1"/>
  <c r="F329" i="2"/>
  <c r="F328" i="2" s="1"/>
  <c r="G232" i="2"/>
  <c r="F187" i="2"/>
  <c r="F186" i="2" s="1"/>
  <c r="F101" i="2"/>
  <c r="G66" i="2"/>
  <c r="G65" i="2" s="1"/>
  <c r="H56" i="2"/>
  <c r="H55" i="2" s="1"/>
  <c r="G43" i="2"/>
  <c r="G33" i="2"/>
  <c r="F66" i="2"/>
  <c r="F65" i="2" s="1"/>
  <c r="F619" i="2"/>
  <c r="F618" i="2" s="1"/>
  <c r="H640" i="2"/>
  <c r="H639" i="2" s="1"/>
  <c r="G602" i="2"/>
  <c r="G601" i="2" s="1"/>
  <c r="H548" i="2"/>
  <c r="G543" i="2"/>
  <c r="F543" i="2"/>
  <c r="H543" i="2"/>
  <c r="H522" i="2"/>
  <c r="F480" i="2"/>
  <c r="H480" i="2"/>
  <c r="G480" i="2"/>
  <c r="H464" i="2"/>
  <c r="H463" i="2" s="1"/>
  <c r="G443" i="2"/>
  <c r="G442" i="2" s="1"/>
  <c r="F443" i="2"/>
  <c r="H443" i="2"/>
  <c r="H433" i="2"/>
  <c r="H428" i="2"/>
  <c r="H427" i="2" s="1"/>
  <c r="F411" i="2"/>
  <c r="F410" i="2" s="1"/>
  <c r="H411" i="2"/>
  <c r="H410" i="2" s="1"/>
  <c r="G391" i="2"/>
  <c r="G379" i="2"/>
  <c r="H344" i="2"/>
  <c r="H343" i="2" s="1"/>
  <c r="G323" i="2"/>
  <c r="H153" i="2"/>
  <c r="G111" i="2"/>
  <c r="G76" i="2"/>
  <c r="G75" i="2" s="1"/>
  <c r="F56" i="2"/>
  <c r="F55" i="2" s="1"/>
  <c r="G56" i="2"/>
  <c r="G55" i="2" s="1"/>
  <c r="F33" i="2"/>
  <c r="G23" i="2"/>
  <c r="F573" i="2"/>
  <c r="F572" i="2" s="1"/>
  <c r="H232" i="2"/>
  <c r="F450" i="2"/>
  <c r="H187" i="2"/>
  <c r="H186" i="2" s="1"/>
  <c r="G42" i="2"/>
  <c r="H42" i="2"/>
  <c r="G9" i="2"/>
  <c r="G591" i="2"/>
  <c r="G511" i="2"/>
  <c r="G416" i="2"/>
  <c r="F602" i="2"/>
  <c r="F601" i="2" s="1"/>
  <c r="G573" i="2"/>
  <c r="G572" i="2" s="1"/>
  <c r="F522" i="2"/>
  <c r="F510" i="2" s="1"/>
  <c r="G463" i="2"/>
  <c r="H442" i="2"/>
  <c r="H390" i="2"/>
  <c r="F379" i="2"/>
  <c r="H379" i="2"/>
  <c r="F344" i="2"/>
  <c r="F343" i="2" s="1"/>
  <c r="G207" i="2"/>
  <c r="G172" i="2"/>
  <c r="G131" i="2"/>
  <c r="H120" i="2"/>
  <c r="F111" i="2"/>
  <c r="H111" i="2"/>
  <c r="G101" i="2"/>
  <c r="H91" i="2"/>
  <c r="H618" i="2"/>
  <c r="H405" i="2"/>
  <c r="H404" i="2" s="1"/>
  <c r="H360" i="2"/>
  <c r="G344" i="2"/>
  <c r="G343" i="2" s="1"/>
  <c r="G329" i="2"/>
  <c r="G328" i="2" s="1"/>
  <c r="H300" i="2"/>
  <c r="G187" i="2"/>
  <c r="G186" i="2" s="1"/>
  <c r="F172" i="2"/>
  <c r="H173" i="2"/>
  <c r="H172" i="2" s="1"/>
  <c r="F10" i="2"/>
  <c r="H10" i="2"/>
  <c r="F91" i="2"/>
  <c r="G287" i="2"/>
  <c r="H207" i="2"/>
  <c r="G399" i="2"/>
  <c r="F399" i="2"/>
  <c r="F390" i="2" s="1"/>
  <c r="F427" i="2"/>
  <c r="G390" i="2" l="1"/>
  <c r="G359" i="2" s="1"/>
  <c r="G510" i="2"/>
  <c r="H9" i="2"/>
  <c r="H8" i="2" s="1"/>
  <c r="F442" i="2"/>
  <c r="F206" i="2"/>
  <c r="F205" i="2"/>
  <c r="H534" i="2"/>
  <c r="F534" i="2"/>
  <c r="F509" i="2" s="1"/>
  <c r="G8" i="2"/>
  <c r="G206" i="2"/>
  <c r="G205" i="2" s="1"/>
  <c r="H510" i="2"/>
  <c r="H509" i="2" s="1"/>
  <c r="G534" i="2"/>
  <c r="G509" i="2" s="1"/>
  <c r="G110" i="2"/>
  <c r="H110" i="2"/>
  <c r="F9" i="2"/>
  <c r="F8" i="2" s="1"/>
  <c r="H206" i="2"/>
  <c r="H205" i="2" s="1"/>
  <c r="F360" i="2"/>
  <c r="F359" i="2" s="1"/>
  <c r="F110" i="2"/>
  <c r="H359" i="2"/>
  <c r="G665" i="2" l="1"/>
  <c r="G661" i="2"/>
  <c r="G663" i="2" s="1"/>
  <c r="H661" i="2"/>
  <c r="H663" i="2" s="1"/>
  <c r="F661" i="2"/>
  <c r="F663" i="2" s="1"/>
  <c r="F665" i="2"/>
  <c r="H665" i="2"/>
  <c r="H666" i="2" l="1"/>
  <c r="G666" i="2"/>
  <c r="F666" i="2"/>
</calcChain>
</file>

<file path=xl/sharedStrings.xml><?xml version="1.0" encoding="utf-8"?>
<sst xmlns="http://schemas.openxmlformats.org/spreadsheetml/2006/main" count="3248" uniqueCount="691">
  <si>
    <t xml:space="preserve">  Муниципальная программа "Жилищно-коммунальное хозяйство и благоустройство округа Муром на 2021-2023 годы"</t>
  </si>
  <si>
    <t>000</t>
  </si>
  <si>
    <t>00</t>
  </si>
  <si>
    <t>0100000000</t>
  </si>
  <si>
    <t xml:space="preserve">    Подпрограмма "Благоустройство территории округа Муром на 2021-2023 годы"</t>
  </si>
  <si>
    <t>0110000000</t>
  </si>
  <si>
    <t xml:space="preserve">      Основное мероприятие «Создание условий для реализации муниципальной программы»</t>
  </si>
  <si>
    <t>0110100000</t>
  </si>
  <si>
    <t xml:space="preserve">        Расходы на обеспечение деятельности органов местного самоуправления</t>
  </si>
  <si>
    <t>0110100100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</si>
  <si>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</si>
  <si>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100</t>
  </si>
  <si>
    <t>01</t>
  </si>
  <si>
    <t>13</t>
  </si>
  <si>
    <t>05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</si>
  <si>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</si>
  <si>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</si>
  <si>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Расходы на обеспечение деятельности муниципального казенного учреждения «Муромстройзаказчик»</t>
  </si>
  <si>
    <t>01101МС590</t>
  </si>
  <si>
    <t xml:space="preserve">          Иные бюджетные ассигнования</t>
  </si>
  <si>
    <t>800</t>
  </si>
  <si>
    <t xml:space="preserve">        Расходы на обеспечение деятельности централизованных бухгалтерий</t>
  </si>
  <si>
    <t>01101ЦБ590</t>
  </si>
  <si>
    <t xml:space="preserve">      Основное мероприятие «Обеспечение мероприятий по благоустройству и озеленению территории округа»</t>
  </si>
  <si>
    <t>0110200000</t>
  </si>
  <si>
    <t xml:space="preserve">        Расходы на обеспечение деятельности (оказание услуг) учреждений по благоустройству территории</t>
  </si>
  <si>
    <t>011020Б590</t>
  </si>
  <si>
    <t xml:space="preserve">          Предоставление субсидий бюджетным, автономным учреждениям и иным некоммерческим организациям
</t>
  </si>
  <si>
    <t>600</t>
  </si>
  <si>
    <t>03</t>
  </si>
  <si>
    <t xml:space="preserve">        Благоустройство и текущее содержание кладбищ и мемориалов</t>
  </si>
  <si>
    <t>0110210430</t>
  </si>
  <si>
    <t xml:space="preserve">        Обслуживание прочих объектов благоустройства</t>
  </si>
  <si>
    <t>0110210440</t>
  </si>
  <si>
    <t xml:space="preserve">      Основное мероприятие «Техническое обслуживание и энергоснабжение сетей уличного освещения округа»</t>
  </si>
  <si>
    <t>0110300000</t>
  </si>
  <si>
    <t xml:space="preserve">        Организация освещения улиц</t>
  </si>
  <si>
    <t>0110310450</t>
  </si>
  <si>
    <t xml:space="preserve">        Содержание и эксплуатация уличного освещения</t>
  </si>
  <si>
    <t>0110360070</t>
  </si>
  <si>
    <t xml:space="preserve">      Основное мероприятие «Отлов, подбор и утилизация безнадзорных животных»</t>
  </si>
  <si>
    <t>0110400000</t>
  </si>
  <si>
    <t xml:space="preserve">        Реализация отдельных государственных полномочий Владимирской области по организации мероприятий при осуществлении деятельности по обращению с животными без владельцев</t>
  </si>
  <si>
    <t>0110471980</t>
  </si>
  <si>
    <t>04</t>
  </si>
  <si>
    <t xml:space="preserve">    Подпрограмма "Модернизация объектов коммунальной инфраструктуры округа Муром на 2021-2023 годы"</t>
  </si>
  <si>
    <t>0120000000</t>
  </si>
  <si>
    <t xml:space="preserve">      Основное мероприятие "Строительство, реконструкция и техническое перевооружение объектов водоснабжения и водоотведения"</t>
  </si>
  <si>
    <t>0120100000</t>
  </si>
  <si>
    <t xml:space="preserve">        Строительство, реконструкция и модернизация систем (объектов) теплоснабжения, водоснабжения, водоотведения и очистки сточных вод</t>
  </si>
  <si>
    <t>0120171580</t>
  </si>
  <si>
    <t xml:space="preserve">          Капитальные вложения в объекты государственной (муниципальной) собственности</t>
  </si>
  <si>
    <t>400</t>
  </si>
  <si>
    <t>02</t>
  </si>
  <si>
    <t>01201S1580</t>
  </si>
  <si>
    <t xml:space="preserve">      Основное мероприятие «Разработка комплексных схем инженерного обеспечения округа Муром»</t>
  </si>
  <si>
    <t>0120200000</t>
  </si>
  <si>
    <t xml:space="preserve">        Актуализация схем теплоснабжения, водоснабжения и водоотведения</t>
  </si>
  <si>
    <t>0120210350</t>
  </si>
  <si>
    <t>12</t>
  </si>
  <si>
    <t xml:space="preserve">    Подпрограмма "Обеспечение доступности услуг общественного транспорта в округе Муром на 2021-2023 годы"</t>
  </si>
  <si>
    <t>0130000000</t>
  </si>
  <si>
    <t xml:space="preserve">      Основное мероприятие "Обеспечение доступности общественного транспорта для различных категорий граждан на территории округа"</t>
  </si>
  <si>
    <t>0130100000</t>
  </si>
  <si>
    <t xml:space="preserve">        Обеспечение равной доступности услуг общественного транспорта на территории округа Муром для отдельных категорий граждан</t>
  </si>
  <si>
    <t>0130120040</t>
  </si>
  <si>
    <t xml:space="preserve">          Социальное обеспечение и иные выплаты населению</t>
  </si>
  <si>
    <t>300</t>
  </si>
  <si>
    <t>10</t>
  </si>
  <si>
    <t xml:space="preserve">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</si>
  <si>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0130120050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</si>
  <si>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</si>
  <si>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0130170150</t>
  </si>
  <si>
    <t xml:space="preserve">        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</si>
  <si>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01301S0150</t>
  </si>
  <si>
    <t xml:space="preserve">    Подпрограмма "Обеспечение безопасности дорожного движения и транспортного обслуживания населения на территории округа Муром на 2021-2023 годы"</t>
  </si>
  <si>
    <t>0140000000</t>
  </si>
  <si>
    <t xml:space="preserve">      Основное мероприятие «Совершенствование организации движения транспорта и пешеходов на территории округа»</t>
  </si>
  <si>
    <t>0140100000</t>
  </si>
  <si>
    <t xml:space="preserve">        Расходы на обеспечение деятельности (оказание услуг) учреждений в сфере дорожного хозяйства</t>
  </si>
  <si>
    <t>014010Д590</t>
  </si>
  <si>
    <t>09</t>
  </si>
  <si>
    <t xml:space="preserve">        Приобретение спецоборудования для оказания помощи при дорожно-транспортных происшествиях</t>
  </si>
  <si>
    <t>0140110400</t>
  </si>
  <si>
    <t xml:space="preserve">    Подпрограмма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2023 года"</t>
  </si>
  <si>
    <t>0150000000</t>
  </si>
  <si>
    <t xml:space="preserve">      Основное мероприятие «Обеспечение мер социальной поддержки многодетных семей»</t>
  </si>
  <si>
    <t>0150100000</t>
  </si>
  <si>
    <t xml:space="preserve">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</si>
  <si>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0150170050</t>
  </si>
  <si>
    <t>01501S0050</t>
  </si>
  <si>
    <t xml:space="preserve">    Подпрограмма "Энергосбережение и повышение энергетической эффективности в округе Муром на 2021-2023 годы"</t>
  </si>
  <si>
    <t>0160000000</t>
  </si>
  <si>
    <t xml:space="preserve">      Основное мероприятие "Энергосбережение и повышение энергетической эффективности в округе Муром"</t>
  </si>
  <si>
    <t>0160100000</t>
  </si>
  <si>
    <t xml:space="preserve">        Замена устаревших светильников на новые энергоэффективные, монтаж самонесущих изолированных проводов</t>
  </si>
  <si>
    <t>0160170130</t>
  </si>
  <si>
    <t>01601S0130</t>
  </si>
  <si>
    <t xml:space="preserve">    Подпрограмма "Чистая вода на 2021-2023 годы"</t>
  </si>
  <si>
    <t>0170000000</t>
  </si>
  <si>
    <t>0170100000</t>
  </si>
  <si>
    <t xml:space="preserve">        Строительство (реконструкция) объектов муниципальной собственности округа</t>
  </si>
  <si>
    <t>0170140010</t>
  </si>
  <si>
    <t xml:space="preserve">      Основное мероприятие "Федеральный проект "Чистая вода" национального проекта "Экология"</t>
  </si>
  <si>
    <t>017G500000</t>
  </si>
  <si>
    <t xml:space="preserve">        Строительство и реконструкция (модернизация) объектов питьевого водоснабжения</t>
  </si>
  <si>
    <t>017G552430</t>
  </si>
  <si>
    <t xml:space="preserve">  Муниципальная программа "Реализация государственной национальной политики Российской Федерации в округе Муром на 2021-2023 годы"</t>
  </si>
  <si>
    <t>0200000000</t>
  </si>
  <si>
    <t xml:space="preserve">      Основное мероприятие «Мероприятия, направленные на укрепление гражданского единства и гармонизацию межнациональных отношений»</t>
  </si>
  <si>
    <t>0200100000</t>
  </si>
  <si>
    <t xml:space="preserve">        Организация и проведение конкурсов и выставок, направленных на формирование общероссийского гражданского самосознания</t>
  </si>
  <si>
    <t>0200110500</t>
  </si>
  <si>
    <t>07</t>
  </si>
  <si>
    <t xml:space="preserve">      Основное мероприятие «Содействие этнокультурному многообразию народов России, проживающих на территории округа Муром»</t>
  </si>
  <si>
    <t>0200200000</t>
  </si>
  <si>
    <t xml:space="preserve">        Проведение традиционных праздников, фестивалей, конкурсов</t>
  </si>
  <si>
    <t>0200210520</t>
  </si>
  <si>
    <t>08</t>
  </si>
  <si>
    <t xml:space="preserve">  Муниципальная программа "Развитие физической культуры и спорта в округе Муром на 2021-2023 годы"</t>
  </si>
  <si>
    <t>0300000000</t>
  </si>
  <si>
    <t>0300100000</t>
  </si>
  <si>
    <t>0300100100</t>
  </si>
  <si>
    <t>11</t>
  </si>
  <si>
    <t xml:space="preserve">        Ежемесячные денежные выплаты заслуженным работникам физической культуры и спорта</t>
  </si>
  <si>
    <t>0300120010</t>
  </si>
  <si>
    <t>03001ЦБ590</t>
  </si>
  <si>
    <t xml:space="preserve">      Основное мероприятие «Обеспечение подготовки спортивного резерва для спортивных сборных команд»</t>
  </si>
  <si>
    <t>0300200000</t>
  </si>
  <si>
    <t xml:space="preserve">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</si>
  <si>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>0300271920</t>
  </si>
  <si>
    <t xml:space="preserve">        Развитие базовых и олимпийских видов спорта в муниципальном бюджетном учреждении "Спортивная школа олимпийского резерва имени А.А. Прокуроро-ва"</t>
  </si>
  <si>
    <t>03002S1920</t>
  </si>
  <si>
    <t xml:space="preserve">        Расходы на обеспечение деятельности (оказание услуг) физкультурно-спортивных учреждений</t>
  </si>
  <si>
    <t>03002УФ590</t>
  </si>
  <si>
    <t xml:space="preserve">        Организация и проведение мероприятий по антинаркотической пропаганде</t>
  </si>
  <si>
    <t>0300310120</t>
  </si>
  <si>
    <t xml:space="preserve">        Организация профилактических мероприятий по безнадзорности и правонарушениям среди детей и подростков</t>
  </si>
  <si>
    <t>0300310260</t>
  </si>
  <si>
    <t xml:space="preserve">        Реализация календарного плана физкультурно-оздоровительных и спортивных мероприятий округа Муром</t>
  </si>
  <si>
    <t>0300310270</t>
  </si>
  <si>
    <t xml:space="preserve">      Основное мероприятие «Развитие инфраструктуры физической культуры и спорта в округе Муром»</t>
  </si>
  <si>
    <t>0300400000</t>
  </si>
  <si>
    <t xml:space="preserve">        Укрепление материально-технической базы подведомственных учреждений</t>
  </si>
  <si>
    <t>0300410280</t>
  </si>
  <si>
    <t xml:space="preserve">      Основное мероприятие «Создание условий для развития отдельных видов спорта в округе Муром»</t>
  </si>
  <si>
    <t>0300500000</t>
  </si>
  <si>
    <t xml:space="preserve">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</si>
  <si>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0300560060</t>
  </si>
  <si>
    <t xml:space="preserve">      Основное мероприятие "Федеральный проект "Спорт-норма жизни" национального проекта "Демография"</t>
  </si>
  <si>
    <t>030P500000</t>
  </si>
  <si>
    <t xml:space="preserve">        Приобретение спортивного оборудования и инвентаря для приведения организаций спортивной подготовки в нормативное состояние</t>
  </si>
  <si>
    <t>030P552290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</si>
  <si>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</si>
  <si>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030P55229S</t>
  </si>
  <si>
    <t>030P55229М</t>
  </si>
  <si>
    <t xml:space="preserve">        Реализация программ спортивной подготовки в соответствии с требованиями федеральных стандартов спортивной подготовки</t>
  </si>
  <si>
    <t>030P57170S</t>
  </si>
  <si>
    <t>030P57170М</t>
  </si>
  <si>
    <t xml:space="preserve">        Содержание объектов спортивной инфраструктуры муниципальной собственности для занятий физической культурой и спортом</t>
  </si>
  <si>
    <t>030P57200S</t>
  </si>
  <si>
    <t xml:space="preserve">  Муниципальная программа "Молодежь Мурома" на 2021-2023 годы</t>
  </si>
  <si>
    <t>0400000000</t>
  </si>
  <si>
    <t xml:space="preserve">      Основное мероприятие «Создание условий для успешной социализации и эффективной самореализации молодежи»</t>
  </si>
  <si>
    <t>0400100000</t>
  </si>
  <si>
    <t>0400110120</t>
  </si>
  <si>
    <t xml:space="preserve">        Организация и осуществление мероприятий по работе с детьми и молодежью</t>
  </si>
  <si>
    <t>0400110240</t>
  </si>
  <si>
    <t xml:space="preserve">        Персональные стипендии администрации округа им.А.В.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</si>
  <si>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0400120150</t>
  </si>
  <si>
    <t>0400200000</t>
  </si>
  <si>
    <t>0400200100</t>
  </si>
  <si>
    <t xml:space="preserve">  Муниципальная программa управления муниципальными финансами и муниципальным долгом округа Муром на 2021-2023 годы</t>
  </si>
  <si>
    <t>0500000000</t>
  </si>
  <si>
    <t xml:space="preserve">    Подпрограмма «Нормативно-методическое обеспечение и организация бюджетного процесса в округе Муром»</t>
  </si>
  <si>
    <t>0510000000</t>
  </si>
  <si>
    <t xml:space="preserve">      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</si>
  <si>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>0510100000</t>
  </si>
  <si>
    <t>0510100100</t>
  </si>
  <si>
    <t>06</t>
  </si>
  <si>
    <t xml:space="preserve">      Основное мероприятие "Управление резервным фондом Администрации округа Муром для предупреждения и ликвидации чрезвычайных ситуаций"</t>
  </si>
  <si>
    <t>0510200000</t>
  </si>
  <si>
    <t xml:space="preserve">        Резервный фонд Администрации округа Муром для предупреждения и ликвидации чрезвычайных ситуаций</t>
  </si>
  <si>
    <t>0510210010</t>
  </si>
  <si>
    <t xml:space="preserve">    Подпрограмма «Управление муниципальным долгом округа Муром»</t>
  </si>
  <si>
    <t>0520000000</t>
  </si>
  <si>
    <t xml:space="preserve">      Основное мероприятие «Обеспечение своевременности и полноты исполнения долговых обязательств округа Муром»</t>
  </si>
  <si>
    <t>0520100000</t>
  </si>
  <si>
    <t xml:space="preserve">        Процентные платежи по муниципальному долгу</t>
  </si>
  <si>
    <t>0520110060</t>
  </si>
  <si>
    <t xml:space="preserve">          Обслуживание государственного (муниципального) долга</t>
  </si>
  <si>
    <t>700</t>
  </si>
  <si>
    <t xml:space="preserve">    Подпрограмма «Повышение эффективности бюджетных расходов округа Муром»</t>
  </si>
  <si>
    <t>0530000000</t>
  </si>
  <si>
    <t xml:space="preserve">      Основное мероприятие «Развитие программно-целевых методов планирования и повышение эффективности бюджетных расходов»</t>
  </si>
  <si>
    <t>0530100000</t>
  </si>
  <si>
    <t xml:space="preserve">        Распределение части бюджета принимаемых обязательств между ГРБС в зависимости от оценки качества финансового менеджмента</t>
  </si>
  <si>
    <t>0530110160</t>
  </si>
  <si>
    <t xml:space="preserve">  Муниципальная программа "Развитие образования в округе Муром" на 2021-2023 годы</t>
  </si>
  <si>
    <t>0600000000</t>
  </si>
  <si>
    <t xml:space="preserve">    Подпрограмма «Развитие дошкольного, общего и дополнительного образования детей в округе Муром»</t>
  </si>
  <si>
    <t>0610000000</t>
  </si>
  <si>
    <t xml:space="preserve">      Основное мероприятие «Организация предоставления общедоступного и бесплатного дошкольного образования по основным общеобразовательным программам»</t>
  </si>
  <si>
    <t>0610100000</t>
  </si>
  <si>
    <t xml:space="preserve">        Модернизация дошкольного образования</t>
  </si>
  <si>
    <t>0610110210</t>
  </si>
  <si>
    <t xml:space="preserve">        Гранты в форме субсидий образовательным учреждениям</t>
  </si>
  <si>
    <t>0610110600</t>
  </si>
  <si>
    <t xml:space="preserve">        Денежное поощрение лучших педагогов дошкольных образовательных учреждений</t>
  </si>
  <si>
    <t>0610120100</t>
  </si>
  <si>
    <t xml:space="preserve">        Социальная поддержка детей-инвалидов дошкольного возраста</t>
  </si>
  <si>
    <t>0610170540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</si>
  <si>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</si>
  <si>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0610170560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</si>
  <si>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</si>
  <si>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0610170590</t>
  </si>
  <si>
    <t xml:space="preserve">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</si>
  <si>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>0610171430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</si>
  <si>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</si>
  <si>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0610171830</t>
  </si>
  <si>
    <t>06101S1430</t>
  </si>
  <si>
    <t xml:space="preserve">        Расходы на обеспечение деятельности (оказание услуг) детских дошкольных учреждений</t>
  </si>
  <si>
    <t>06101УД590</t>
  </si>
  <si>
    <t xml:space="preserve">      Основное мероприятие «Организация предоставления общедоступного и бесплатного общего образования по основным общеобразовательным программам»</t>
  </si>
  <si>
    <t>0610200000</t>
  </si>
  <si>
    <t xml:space="preserve">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</si>
  <si>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>0610210200</t>
  </si>
  <si>
    <t xml:space="preserve">        Модернизация общеобразовательных учреждений</t>
  </si>
  <si>
    <t>0610210230</t>
  </si>
  <si>
    <t>0610210600</t>
  </si>
  <si>
    <t xml:space="preserve">        Денежное поощрение лучших учителей общеобразовательных учреждений</t>
  </si>
  <si>
    <t>0610220110</t>
  </si>
  <si>
    <t xml:space="preserve">        Денежное поощрение учащихся общеобразовательных школ</t>
  </si>
  <si>
    <t>0610220120</t>
  </si>
  <si>
    <t xml:space="preserve">        Денежное поощрение молодых специалистов остродефицитных специальностей общеобразовательных учреждений</t>
  </si>
  <si>
    <t>0610220180</t>
  </si>
  <si>
    <t xml:space="preserve">        Ежемесячное денежное вознаграждение за классное руководство педагогиче-ским работникам муниципальных общеобразовательных организаций</t>
  </si>
  <si>
    <t>0610253031</t>
  </si>
  <si>
    <t>0610270590</t>
  </si>
  <si>
    <t xml:space="preserve">        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</si>
  <si>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0610271320</t>
  </si>
  <si>
    <t xml:space="preserve">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</si>
  <si>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>061027147П</t>
  </si>
  <si>
    <t xml:space="preserve">        Создание и оборудование кабинетов наркопрофилактики в образовательных организациях</t>
  </si>
  <si>
    <t>0610271690</t>
  </si>
  <si>
    <t>0610271830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</si>
  <si>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</si>
  <si>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06102L3041</t>
  </si>
  <si>
    <t>06102S1320</t>
  </si>
  <si>
    <t xml:space="preserve">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</si>
  <si>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>06102S147П</t>
  </si>
  <si>
    <t xml:space="preserve">        Расходы на обеспечение деятельности (оказание услуг) общеобразовательных учреждений</t>
  </si>
  <si>
    <t>06102УШ590</t>
  </si>
  <si>
    <t xml:space="preserve">      Основное мероприятие «Организация предоставления дополнительного образования детей»</t>
  </si>
  <si>
    <t>0610300000</t>
  </si>
  <si>
    <t xml:space="preserve">        Мероприятия по обеспечению персонифицированного финансирования дополнительного образования детей</t>
  </si>
  <si>
    <t>0610310640</t>
  </si>
  <si>
    <t xml:space="preserve">        Денежное поощрение лучших педагогов дополнительного образования</t>
  </si>
  <si>
    <t>0610320130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</si>
  <si>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поэтапным доведением к 2018 году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</si>
  <si>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>061037147С</t>
  </si>
  <si>
    <t xml:space="preserve">        Расходы на обеспечение деятельности (оказание услуг) учреждений по внешкольной работе с детьми</t>
  </si>
  <si>
    <t>06103УВ590</t>
  </si>
  <si>
    <t xml:space="preserve">      Основное мероприятие «Организация отдыха детей в каникулярное время»</t>
  </si>
  <si>
    <t>0610400000</t>
  </si>
  <si>
    <t xml:space="preserve">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</si>
  <si>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>061047147Л</t>
  </si>
  <si>
    <t xml:space="preserve">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</si>
  <si>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>061047147Э</t>
  </si>
  <si>
    <t xml:space="preserve">        Полная или частичная оплата стоимости путевок в оздоровительные организации</t>
  </si>
  <si>
    <t>06104S147Л</t>
  </si>
  <si>
    <t xml:space="preserve">        Организация культурно-экскурсионного обслуживания в каникулярный период организованных групп детей</t>
  </si>
  <si>
    <t>06104S147Э</t>
  </si>
  <si>
    <t xml:space="preserve">      Основное мероприятие "Федеральный проект "Цифровая образовательная среда" национального проекта "Образование"</t>
  </si>
  <si>
    <t>061E400000</t>
  </si>
  <si>
    <t>061R300000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</si>
  <si>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движения"</t>
  </si>
  <si>
    <t>061R37136S</t>
  </si>
  <si>
    <t>061R37136М</t>
  </si>
  <si>
    <t xml:space="preserve">    Подпрограмма «Обеспечение защиты прав и интересов детей-сирот и детей, оставшихся без попечения родителей»</t>
  </si>
  <si>
    <t>0620000000</t>
  </si>
  <si>
    <t xml:space="preserve">      Основное мероприятие «Социальная поддержка детей-сирот и детей, оставшихся без попечения родителей»</t>
  </si>
  <si>
    <t>0620100000</t>
  </si>
  <si>
    <t xml:space="preserve">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</si>
  <si>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>062017065В</t>
  </si>
  <si>
    <t xml:space="preserve">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</si>
  <si>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062017065П</t>
  </si>
  <si>
    <t xml:space="preserve">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</si>
  <si>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062017065С</t>
  </si>
  <si>
    <t xml:space="preserve">      Основное мероприятие «Участие в осуществлении деятельности по опеке и попечительству»</t>
  </si>
  <si>
    <t>0620200000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</si>
  <si>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</si>
  <si>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0620270070</t>
  </si>
  <si>
    <t xml:space="preserve">    Подпрограмма «Обеспечение реализации муниципальной программы «Развитие образования в округе Муром»</t>
  </si>
  <si>
    <t>0630000000</t>
  </si>
  <si>
    <t>0630100000</t>
  </si>
  <si>
    <t>0630100100</t>
  </si>
  <si>
    <t>0630170590</t>
  </si>
  <si>
    <t>06301ЦБ590</t>
  </si>
  <si>
    <t xml:space="preserve">        Расходы на обеспечение деятельности муниципального казенного учреждения «Центр работы с педагогическими кадрами»</t>
  </si>
  <si>
    <t>06301ЦП590</t>
  </si>
  <si>
    <t xml:space="preserve">  Муниципальная программа "Обеспечение комфортным жильем населения округа Муром в 2021-2023 годах"</t>
  </si>
  <si>
    <t>0700000000</t>
  </si>
  <si>
    <t xml:space="preserve">    Подпрограмма "Обеспечение реализации муниципальной программы "Обеспечение комфортным жильем населения округа Муром"</t>
  </si>
  <si>
    <t>0710000000</t>
  </si>
  <si>
    <t>0710200000</t>
  </si>
  <si>
    <t>0710200100</t>
  </si>
  <si>
    <t xml:space="preserve">        Расходы на оценку объектов недвижимости, кадастровые и проектные работы</t>
  </si>
  <si>
    <t>0710210610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</si>
  <si>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</si>
  <si>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0710271370</t>
  </si>
  <si>
    <t xml:space="preserve">        Расходы на обеспечение деятельности муниципального казенного учреждения «Муниципальный жилищный фонд»</t>
  </si>
  <si>
    <t>07102ЖФ590</t>
  </si>
  <si>
    <t xml:space="preserve">      Основное мероприятие "Содержание и ремонт жилых помещений муниципального жилищного фонда округа Муром"</t>
  </si>
  <si>
    <t>0710300000</t>
  </si>
  <si>
    <t xml:space="preserve">        Расходы на коммунальные услуги и содержание незаселенных жилых помещений муниципального жилищного фонда округа Муром</t>
  </si>
  <si>
    <t>0710310360</t>
  </si>
  <si>
    <t xml:space="preserve">        Расходы на проведение капитального ремонта жилых помещений муниципального жилищного фонда округа Муром</t>
  </si>
  <si>
    <t>0710310570</t>
  </si>
  <si>
    <t xml:space="preserve">      Основное мероприятие "Установка приборов учета коммунальных ресурсов и замена бытового газоиспользующего оборудования"</t>
  </si>
  <si>
    <t>0710400000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</si>
  <si>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</si>
  <si>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>0710420170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</si>
  <si>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</si>
  <si>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>0710420190</t>
  </si>
  <si>
    <t xml:space="preserve">        Установка коллективных (общедомовых) приборов учета коммунальных ресурсов в многоквартирных домах</t>
  </si>
  <si>
    <t>0710460080</t>
  </si>
  <si>
    <t xml:space="preserve">    Подпрограмма «Обеспечение жильем молодых семей округа Муром»</t>
  </si>
  <si>
    <t>0720000000</t>
  </si>
  <si>
    <t xml:space="preserve">      Основное мероприятие «Обеспечение мер социальной поддержки по улучшению жилищных условий молодых семей»</t>
  </si>
  <si>
    <t>0720100000</t>
  </si>
  <si>
    <t xml:space="preserve">        Реализация мероприятий по обеспечению жильем молодых семей</t>
  </si>
  <si>
    <t>07201L4970</t>
  </si>
  <si>
    <t xml:space="preserve">    Подпрограмма «Обеспечение жильем отдельных категорий граждан, установленных законодательством, на территории муниципального образования округ Муром»</t>
  </si>
  <si>
    <t>0730000000</t>
  </si>
  <si>
    <t xml:space="preserve">      Основное мероприятие «Обеспечение жильем ветеранов, инвалидов и семей, имеющих детей-инвалидов»</t>
  </si>
  <si>
    <t>0730100000</t>
  </si>
  <si>
    <t xml:space="preserve">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</si>
  <si>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0730151350</t>
  </si>
  <si>
    <t xml:space="preserve">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</si>
  <si>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0730151760</t>
  </si>
  <si>
    <t xml:space="preserve">      Основное мероприятие «Оказание мер социальной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бюджетов»</t>
  </si>
  <si>
    <t>0730200000</t>
  </si>
  <si>
    <t xml:space="preserve">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</si>
  <si>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0730271860</t>
  </si>
  <si>
    <t xml:space="preserve">      Основное мероприятие «Обеспечение дополнительных гарантий прав на имущество и жилое помещение детей-сирот и детей, оставшихся без попечения родителей»</t>
  </si>
  <si>
    <t>0730300000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</si>
  <si>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</si>
  <si>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0730371420</t>
  </si>
  <si>
    <t>07303R0820</t>
  </si>
  <si>
    <t xml:space="preserve">    Подпрограмма «Социальное жилье в округе Муром»</t>
  </si>
  <si>
    <t>0740000000</t>
  </si>
  <si>
    <t xml:space="preserve">      Основное мероприятие "Улучшение жилищных условий граждан, нуждающихся в жилых помещениях"</t>
  </si>
  <si>
    <t>0740100000</t>
  </si>
  <si>
    <t xml:space="preserve">        Строительство социального жилья и приобретение жилых помещений для граждан, нуждающихся в улучшении жилищных условий</t>
  </si>
  <si>
    <t>0740170090</t>
  </si>
  <si>
    <t>07401S0090</t>
  </si>
  <si>
    <t xml:space="preserve">    Подпрограмма «Обеспечение жильем многодетных семей округа Муром»</t>
  </si>
  <si>
    <t>0750000000</t>
  </si>
  <si>
    <t xml:space="preserve">      Основное мероприятие «Оказание мер социальной поддержки многодетным семьям»</t>
  </si>
  <si>
    <t>0750100000</t>
  </si>
  <si>
    <t xml:space="preserve">        Обеспечение жильем многодетных семей</t>
  </si>
  <si>
    <t>0750170810</t>
  </si>
  <si>
    <t>07501S0810</t>
  </si>
  <si>
    <t xml:space="preserve">    Подпрограмма "Переселение граждан из аварийного жилищного фонда"</t>
  </si>
  <si>
    <t>0760000000</t>
  </si>
  <si>
    <t xml:space="preserve">      Основное мероприятие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</si>
  <si>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>0760100000</t>
  </si>
  <si>
    <t xml:space="preserve">        Снос домов, признанных аварийными и подлежащими сносу, и разбор (демонтаж) жилых домов, признанных непригодными для проживания</t>
  </si>
  <si>
    <t>0760110180</t>
  </si>
  <si>
    <t xml:space="preserve">      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</si>
  <si>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076F300000</t>
  </si>
  <si>
    <t xml:space="preserve">  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</si>
  <si>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076F367483</t>
  </si>
  <si>
    <t xml:space="preserve">        Обеспечение устойчивого сокращения непригодного для проживания жилищного фонда</t>
  </si>
  <si>
    <t>076F367484</t>
  </si>
  <si>
    <t>076F36748S</t>
  </si>
  <si>
    <t xml:space="preserve">    Подпрограмма "Обеспечение проживающих в аварийном жилищном фонде граждан жилыми помещениями"</t>
  </si>
  <si>
    <t>0770000000</t>
  </si>
  <si>
    <t xml:space="preserve">      Основное мероприятие "Приобретение жилых помещений для предоставления их гражданам, переселяемым из аварийного жилищного фонда"</t>
  </si>
  <si>
    <t>0770100000</t>
  </si>
  <si>
    <t xml:space="preserve">        Обеспечение проживающих в непригодном жилищном фонде граждан жилыми помещениями</t>
  </si>
  <si>
    <t>0770109702</t>
  </si>
  <si>
    <t>07701S9702</t>
  </si>
  <si>
    <t xml:space="preserve">      Основное мероприятие "Выплата возмещения собственникам жилых помещений, входящих в аварийный жилищный фонд, за изымаемые жилые помещения в соответствии со статьей 32 Жилищного кодекса РФ"</t>
  </si>
  <si>
    <t>0770200000</t>
  </si>
  <si>
    <t>0770209702</t>
  </si>
  <si>
    <t>07702S9702</t>
  </si>
  <si>
    <t xml:space="preserve">    Подпрограмма "Реконструкция и капитальный ремонт общего имущества многоквартирных домов в округе Муром"</t>
  </si>
  <si>
    <t>0780000000</t>
  </si>
  <si>
    <t xml:space="preserve">      Основное мероприятие «Исполнение обязательств округа по финансовому обеспечению капитального ремонта многоквартирных домов"</t>
  </si>
  <si>
    <t>0780100000</t>
  </si>
  <si>
    <t xml:space="preserve">        Взносы в региональный фонд капитального ремонта</t>
  </si>
  <si>
    <t>0780110170</t>
  </si>
  <si>
    <t xml:space="preserve">  Муниципальная программа "Совершенствование управления муниципальной собственностью муниципального образования округ Муром на 2021-2023 годы"</t>
  </si>
  <si>
    <t>0800000000</t>
  </si>
  <si>
    <t xml:space="preserve">      Основное мероприятие «Оценка недвижимости, признание прав и регулирование отношений по государственной и муниципальной собственности»</t>
  </si>
  <si>
    <t>0800100000</t>
  </si>
  <si>
    <t xml:space="preserve">        Проведение работ по инвентаризации объектов недвижимости казны округа Муром</t>
  </si>
  <si>
    <t>0800110070</t>
  </si>
  <si>
    <t xml:space="preserve">        Выполнение кадастровых работ</t>
  </si>
  <si>
    <t>0800110080</t>
  </si>
  <si>
    <t xml:space="preserve">        Оценка рыночной стоимости арендной платы и муниципального имущества</t>
  </si>
  <si>
    <t>0800110090</t>
  </si>
  <si>
    <t xml:space="preserve">      Основное мероприятие «Содержание объектов муниципальной собственности»</t>
  </si>
  <si>
    <t>0800200000</t>
  </si>
  <si>
    <t xml:space="preserve">        Уплата налогов и сборов за объекты муниципальной собственности</t>
  </si>
  <si>
    <t>0800210050</t>
  </si>
  <si>
    <t xml:space="preserve">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</si>
  <si>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>0800210100</t>
  </si>
  <si>
    <t>0800300000</t>
  </si>
  <si>
    <t>0800300100</t>
  </si>
  <si>
    <t xml:space="preserve">  Муниципальная программа сохранения и развития культуры округа Муром на 2021-2023 годы</t>
  </si>
  <si>
    <t>0900000000</t>
  </si>
  <si>
    <t xml:space="preserve">      Основное мероприятие «Организация предоставления дополнительного образования детей в муниципальных образовательных учреждениях, подведомственных управлению культуры»</t>
  </si>
  <si>
    <t>0900100000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</si>
  <si>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</si>
  <si>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0900170390</t>
  </si>
  <si>
    <t>09001УВ590</t>
  </si>
  <si>
    <t xml:space="preserve">      Основное мероприятие «Организация библиотечного обслуживания населения, комплектование обеспечения сохранности библиотечных фондов библиотек округа»</t>
  </si>
  <si>
    <t>0900200000</t>
  </si>
  <si>
    <t>0900270390</t>
  </si>
  <si>
    <t xml:space="preserve">        Мероприятия по укреплению материально-технической базы муниципальных библиотек области</t>
  </si>
  <si>
    <t>0900271890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</si>
  <si>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</si>
  <si>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0900271960</t>
  </si>
  <si>
    <t>09002S1890</t>
  </si>
  <si>
    <t xml:space="preserve">        Расходы на обеспечение деятельности (оказание услуг) библиотек</t>
  </si>
  <si>
    <t>09002УБ590</t>
  </si>
  <si>
    <t xml:space="preserve">      Основное мероприятие «Создание условий для организации досуга и обеспечения жителей округа услугами организаций культуры»</t>
  </si>
  <si>
    <t>0900300000</t>
  </si>
  <si>
    <t>0900310120</t>
  </si>
  <si>
    <t>0900370390</t>
  </si>
  <si>
    <t xml:space="preserve">        Организация и проведение культурно-массовых мероприятий</t>
  </si>
  <si>
    <t>0900371530</t>
  </si>
  <si>
    <t>0900371960</t>
  </si>
  <si>
    <t>09003S1530</t>
  </si>
  <si>
    <t xml:space="preserve">        Расходы на обеспечение деятельности (оказание услуг) учреждений в сфере культуры</t>
  </si>
  <si>
    <t>09003УК590</t>
  </si>
  <si>
    <t>0900400000</t>
  </si>
  <si>
    <t>0900400100</t>
  </si>
  <si>
    <t xml:space="preserve">        Денежная премия за присвоение звания "Человек года"</t>
  </si>
  <si>
    <t>0900420210</t>
  </si>
  <si>
    <t>0900471960</t>
  </si>
  <si>
    <t>09004ЦБ590</t>
  </si>
  <si>
    <t xml:space="preserve">      Основное мероприятие "Федеральный проект "Культурная среда" национального проекта "Культура"</t>
  </si>
  <si>
    <t>090A100000</t>
  </si>
  <si>
    <t xml:space="preserve">        Создание модельных муниципальных библиотек</t>
  </si>
  <si>
    <t>090A154540</t>
  </si>
  <si>
    <t xml:space="preserve">  Муниципальная программа округа Муром "Муниципальное управление" на 2021-2023 годы</t>
  </si>
  <si>
    <t>1000000000</t>
  </si>
  <si>
    <t xml:space="preserve">    Подпрограмма «Повышение качества предоставления муниципальных услуг, исполнения муниципальных функций и переданных государственных полномочий»</t>
  </si>
  <si>
    <t>1010000000</t>
  </si>
  <si>
    <t xml:space="preserve">      Основное мероприятие «Решение вопросов местного значения»</t>
  </si>
  <si>
    <t>1010100000</t>
  </si>
  <si>
    <t>1010100100</t>
  </si>
  <si>
    <t xml:space="preserve">        Обеспечение территорий документацией для осуществления градостроительной деятельности</t>
  </si>
  <si>
    <t>1010170080</t>
  </si>
  <si>
    <t>10101S0080</t>
  </si>
  <si>
    <t xml:space="preserve">        Расходы на выплаты по оплате труда Главы муниципального образования</t>
  </si>
  <si>
    <t>10101Г0100</t>
  </si>
  <si>
    <t xml:space="preserve">      Основное мероприятие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</si>
  <si>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>1010200000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</si>
  <si>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</si>
  <si>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1010251200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</si>
  <si>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</si>
  <si>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1010259300</t>
  </si>
  <si>
    <t xml:space="preserve">        Обеспечение деятельности комиссий по делам несовершеннолетних и защите их прав</t>
  </si>
  <si>
    <t>1010270010</t>
  </si>
  <si>
    <t xml:space="preserve">        Осуществление отдельных государственных полномочий по вопросам административного законодательства</t>
  </si>
  <si>
    <t>1010270020</t>
  </si>
  <si>
    <t xml:space="preserve">    Подпрограмма «Обеспечение условий для осуществления деятельности Администрации округа Муром. Информатизация органов местного самоуправления»</t>
  </si>
  <si>
    <t>1020000000</t>
  </si>
  <si>
    <t xml:space="preserve">      Основное мероприятие «Материально-техническое обеспечение реализации муниципальной программы»</t>
  </si>
  <si>
    <t>1020100000</t>
  </si>
  <si>
    <t xml:space="preserve">        Расходы на обеспечение деятельности муниципального казенного учреждения «Управление административными зданиями и транспортом»</t>
  </si>
  <si>
    <t>10201УT590</t>
  </si>
  <si>
    <t>10201ЦБ590</t>
  </si>
  <si>
    <t xml:space="preserve">      Основное мероприятие «Информационное обеспечение, техническое оснащение и обслуживание рабочих мест сотрудников»</t>
  </si>
  <si>
    <t>1020200000</t>
  </si>
  <si>
    <t xml:space="preserve">        Автоматизация и информатизация рабочих мест работников органов местного самоуправления и подведомственных учреждений</t>
  </si>
  <si>
    <t>1020210140</t>
  </si>
  <si>
    <t xml:space="preserve">        Техническое обслуживание автоматизированного рабочего места муниципального служащего</t>
  </si>
  <si>
    <t>1020210150</t>
  </si>
  <si>
    <t>1020300000</t>
  </si>
  <si>
    <t xml:space="preserve">        Расходы на обеспечение деятельности учреждений, подведомственных администрации округа</t>
  </si>
  <si>
    <t>102030A590</t>
  </si>
  <si>
    <t xml:space="preserve">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</si>
  <si>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1020320060</t>
  </si>
  <si>
    <t xml:space="preserve">      Основное мероприятие «Создание условий для деятельности народных дружин»</t>
  </si>
  <si>
    <t>1020400000</t>
  </si>
  <si>
    <t xml:space="preserve">        Поощрение членов добровольной народной дружины</t>
  </si>
  <si>
    <t>1020420140</t>
  </si>
  <si>
    <t>14</t>
  </si>
  <si>
    <t xml:space="preserve">    Подпрограмма «Освещение вопросов деятельности Администрации округа Муром»</t>
  </si>
  <si>
    <t>1030000000</t>
  </si>
  <si>
    <t xml:space="preserve">      Основное мероприятие «Освещение деятельности органов местного самоуправления в средствах массовой информации»</t>
  </si>
  <si>
    <t>1030100000</t>
  </si>
  <si>
    <t xml:space="preserve">        Расходы на обеспечение деятельности (оказание услуг) муниципального автономного учреждения «Муромский меридиан»</t>
  </si>
  <si>
    <t>10301ММ590</t>
  </si>
  <si>
    <t xml:space="preserve">  Муниципальная программа содействия развитию малого и среднего предпринимательства в округе Муром на 2021-2023 годы</t>
  </si>
  <si>
    <t>1100000000</t>
  </si>
  <si>
    <t xml:space="preserve">      Основное мероприятие «Развитие инфраструктуры поддержки малого и среднего предпринимательства»</t>
  </si>
  <si>
    <t>1100200000</t>
  </si>
  <si>
    <t xml:space="preserve">        Расходы на обеспечение деятельности (оказание услуг) муниципального бюджетного учреждения «Муромский бизнес-инкубатор»</t>
  </si>
  <si>
    <t>11002БИ590</t>
  </si>
  <si>
    <t xml:space="preserve">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2021-2023 годы"</t>
  </si>
  <si>
    <t>1200000000</t>
  </si>
  <si>
    <t xml:space="preserve">      Основное мероприятие "Оказание мер социальной поддержки и социальной помощи отдельным категориям граждан"</t>
  </si>
  <si>
    <t>1200100000</t>
  </si>
  <si>
    <t xml:space="preserve">        Помощь гражданам, оказавшимся в трудной жизненной ситуации</t>
  </si>
  <si>
    <t>1200120030</t>
  </si>
  <si>
    <t xml:space="preserve">        Адресная социальная помощь больным туберкулезом</t>
  </si>
  <si>
    <t>1200120070</t>
  </si>
  <si>
    <t xml:space="preserve">        Материальная помощь родителям детей, больных сахарным диабетом</t>
  </si>
  <si>
    <t>1200120080</t>
  </si>
  <si>
    <t xml:space="preserve">        Организация бесплатного посещения бани малоимущими гражданами</t>
  </si>
  <si>
    <t>1200120090</t>
  </si>
  <si>
    <t xml:space="preserve">        Проведение химической дезинфекции в очагах туберкулеза</t>
  </si>
  <si>
    <t>1200120160</t>
  </si>
  <si>
    <t>1200200000</t>
  </si>
  <si>
    <t>120020A590</t>
  </si>
  <si>
    <t xml:space="preserve">  Муниципальная программа "Развитие муниципальной службы в округе Муром на 2021-2023 годы"</t>
  </si>
  <si>
    <t>1300000000</t>
  </si>
  <si>
    <t xml:space="preserve">      Основное мероприятие "Профессиональное развитие кадрового потенциала муниципальных служащих"</t>
  </si>
  <si>
    <t>1300100000</t>
  </si>
  <si>
    <t xml:space="preserve">        Повышение квалификации муниципальных служащих администрации округа Муром</t>
  </si>
  <si>
    <t>1300110020</t>
  </si>
  <si>
    <t xml:space="preserve">      Основное мероприятие "Кадровые технологии на муниципальной службе"</t>
  </si>
  <si>
    <t>1300200000</t>
  </si>
  <si>
    <t xml:space="preserve">        Организация и проведение первого этапа конкурса "Лучший муниципальный служащий Владимирской области"</t>
  </si>
  <si>
    <t>1300210130</t>
  </si>
  <si>
    <t xml:space="preserve">        Пенсия за выслугу лет муниципальным служащим (при достижении установленных условий)</t>
  </si>
  <si>
    <t>1300220020</t>
  </si>
  <si>
    <t xml:space="preserve">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2021-2023 годы"</t>
  </si>
  <si>
    <t>1400000000</t>
  </si>
  <si>
    <t>1410000000</t>
  </si>
  <si>
    <t xml:space="preserve">      Основное мероприятие «Развитие и совершенствование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</si>
  <si>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>1410100000</t>
  </si>
  <si>
    <t xml:space="preserve">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</si>
  <si>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>14101ГЧ590</t>
  </si>
  <si>
    <t xml:space="preserve">      Основное мероприятие «Развитие и совершенствование технической оснащенности сил и средств для ликвидации чрезвычайных ситуаций»</t>
  </si>
  <si>
    <t>1410200000</t>
  </si>
  <si>
    <t xml:space="preserve">        Обеспечение защиты населения от чрезвычайных ситуаций и снижение рисков их возникновения</t>
  </si>
  <si>
    <t>1410210460</t>
  </si>
  <si>
    <t xml:space="preserve">      Основное мероприятие «Развитие и совершенствование системы подготовки к действиям в чрезвычайных ситуациях»</t>
  </si>
  <si>
    <t>1410300000</t>
  </si>
  <si>
    <t xml:space="preserve">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</si>
  <si>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>1410310470</t>
  </si>
  <si>
    <t>1420000000</t>
  </si>
  <si>
    <t xml:space="preserve">      Основное мероприятие «Развитие и совершенствование элементов АПК «Безопасный город»</t>
  </si>
  <si>
    <t>1420200000</t>
  </si>
  <si>
    <t xml:space="preserve">        Модернизация и обслуживание элементов АПК «Безопасный город»</t>
  </si>
  <si>
    <t>1420210490</t>
  </si>
  <si>
    <t xml:space="preserve">  Муниципальная программа "Благоустройство территории округа Муром"</t>
  </si>
  <si>
    <t>1500000000</t>
  </si>
  <si>
    <t xml:space="preserve">    Подпрограмма "Формирование современной городской среды на территории округа Муром в 2018-2024 годах"</t>
  </si>
  <si>
    <t>1510000000</t>
  </si>
  <si>
    <t xml:space="preserve">      Основное мероприятие "Федеральный проект "Формирование комфортной городской среды" национального проекта "Жилье и городская среда"</t>
  </si>
  <si>
    <t>151F200000</t>
  </si>
  <si>
    <t xml:space="preserve">        Реализация программ формирования современной городской среды</t>
  </si>
  <si>
    <t>151F255550</t>
  </si>
  <si>
    <t xml:space="preserve">  Муниципальная программа "Профилактика терроризма, экстремизма и ликвидация последствий проявления терроризма и экстремизма на территории округа Муром на 2021-2023 годы"</t>
  </si>
  <si>
    <t>1600000000</t>
  </si>
  <si>
    <t xml:space="preserve">      Основное мероприятие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</si>
  <si>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>1600100000</t>
  </si>
  <si>
    <t xml:space="preserve">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</si>
  <si>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>1600110650</t>
  </si>
  <si>
    <t xml:space="preserve">  Непрограммные расходы органов местного самоуправления</t>
  </si>
  <si>
    <t>9900000000</t>
  </si>
  <si>
    <t xml:space="preserve">    Непрограммные расходы</t>
  </si>
  <si>
    <t>9990000000</t>
  </si>
  <si>
    <t>9990000100</t>
  </si>
  <si>
    <t xml:space="preserve">        Проведение Всероссийской переписи населения 2020 года</t>
  </si>
  <si>
    <t>9990054690</t>
  </si>
  <si>
    <t xml:space="preserve">        Расходы на выплаты по оплате труда депутатам Совета народных депутатов</t>
  </si>
  <si>
    <t>99900Д0100</t>
  </si>
  <si>
    <t xml:space="preserve">        Расходы на выплаты по оплате труда председателю Совета народных депутатов</t>
  </si>
  <si>
    <t>99900П0100</t>
  </si>
  <si>
    <t xml:space="preserve">Всего расходов:   </t>
  </si>
  <si>
    <t>тыс. рублей</t>
  </si>
  <si>
    <t>Распределение бюджетных ассигнований бюджета округа Муром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2021 год и плановый период 2022 и 2023 годов</t>
  </si>
  <si>
    <t>Наименование</t>
  </si>
  <si>
    <t>Целевая статья</t>
  </si>
  <si>
    <t>Раздел</t>
  </si>
  <si>
    <t>Подраз- дел</t>
  </si>
  <si>
    <t>2021 год</t>
  </si>
  <si>
    <t>2022 год</t>
  </si>
  <si>
    <t>Группа видов расходов</t>
  </si>
  <si>
    <t>2023 год</t>
  </si>
  <si>
    <t>к Решению Совета народных депутатов</t>
  </si>
  <si>
    <t>Приложение № 7</t>
  </si>
  <si>
    <t xml:space="preserve">    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2021-2023 годы"</t>
  </si>
  <si>
    <t xml:space="preserve">    Подпрограмма "Построение, развитие и эксплуатация аппаратно-программного комплекса технических средств "Безопасный город" на территории округа Муром на 2021-2023 годы"</t>
  </si>
  <si>
    <t>0300300000</t>
  </si>
  <si>
    <t xml:space="preserve">      Основное мероприятие «Обеспечение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округа»</t>
  </si>
  <si>
    <t>ИТОГО ПО ПРОГРАММАМ</t>
  </si>
  <si>
    <t>% в расходах бюджета</t>
  </si>
  <si>
    <t>0140172460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</si>
  <si>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</si>
  <si>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01401S2460</t>
  </si>
  <si>
    <t xml:space="preserve">      Основное мероприятие "Благоустройство дворовых территорий многоквартирных домов"</t>
  </si>
  <si>
    <t xml:space="preserve">        Благоустройство дворовых территорий многоквартирных домов (за счет безвозмездных поступлений от собственников помещений в многоквартирных домах)</t>
  </si>
  <si>
    <t>15101С555Н</t>
  </si>
  <si>
    <t xml:space="preserve">            Основное мероприятие "Федеральный проект "Чистая вода" национального проекта "Жилье и городская среда"</t>
  </si>
  <si>
    <t xml:space="preserve">              Строительство и реконструкция (модернизация) объектов питьевого водоснабжения</t>
  </si>
  <si>
    <t xml:space="preserve">                Капитальные вложения в объекты государственной (муниципальной) собственности</t>
  </si>
  <si>
    <t>017F500000</t>
  </si>
  <si>
    <t>017F552430</t>
  </si>
  <si>
    <t>0610271430</t>
  </si>
  <si>
    <t>06102S1430</t>
  </si>
  <si>
    <t xml:space="preserve">            Основное мероприятие "Федеральный проект "Современная школа" национального проекта "Образование"</t>
  </si>
  <si>
    <t>061E100000</t>
  </si>
  <si>
    <t xml:space="preserve">              Создание детских технопарков "Кванториум"</t>
  </si>
  <si>
    <t>061E151730</t>
  </si>
  <si>
    <t xml:space="preserve">                Предоставление субсидий бюджетным, автономным учреждениям и иным некоммерческим организациям
</t>
  </si>
  <si>
    <t xml:space="preserve">           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</si>
  <si>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>0610281160</t>
  </si>
  <si>
    <t>06102S1690</t>
  </si>
  <si>
    <t xml:space="preserve">              Исполнение судебных актов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</si>
  <si>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</si>
  <si>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</si>
  <si>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>0800310040</t>
  </si>
  <si>
    <t xml:space="preserve">            Исполнение судебных актов</t>
  </si>
  <si>
    <t xml:space="preserve">               Исполнение судебных актов</t>
  </si>
  <si>
    <t>0710210040</t>
  </si>
  <si>
    <t>030P552281</t>
  </si>
  <si>
    <t>Оснащение объектов спортивной инфраструктуры спортивно-технологическим оборудованием (создание физкультурно-оздоровительных комплексов открытого типа для центров развития внешкольного спорта)</t>
  </si>
  <si>
    <t xml:space="preserve">        Обеспечение образовательных организаций материально-технической базой для внедрения цифровой образовательной среды</t>
  </si>
  <si>
    <t>061E452100</t>
  </si>
  <si>
    <t>0300440030</t>
  </si>
  <si>
    <t xml:space="preserve">            Строительство и реконструкция спортивных сооружений подведомственных учреждений</t>
  </si>
  <si>
    <t>0610110670</t>
  </si>
  <si>
    <t xml:space="preserve">        Подготовка муниципальных образовательных организаций к началу учебного года и оздоровительных лагерей к летнему периоду</t>
  </si>
  <si>
    <t>0610210670</t>
  </si>
  <si>
    <t>0610410670</t>
  </si>
  <si>
    <t xml:space="preserve">           Проведение неотложных аварийно-восстановительных работ</t>
  </si>
  <si>
    <t>0300440040</t>
  </si>
  <si>
    <t xml:space="preserve">       Конькобежные дорожки открытого типа с искусственным льдом в г. Муром</t>
  </si>
  <si>
    <t>030P55139S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</si>
  <si>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</si>
  <si>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030P55228D</t>
  </si>
  <si>
    <t>0300471600</t>
  </si>
  <si>
    <t>Развитие физической культуры и спорта</t>
  </si>
  <si>
    <t>03004S1600</t>
  </si>
  <si>
    <t>0610410680</t>
  </si>
  <si>
    <t>Оплата стоимости путевок для детей школьного возраста до 17 лет (включительно), проживающих на территории Владимирской области, в организациях отдыха детей и их оздоровления, расположенных на территории Владимирской области, в части компенсации расходов родителей на приобретение путевок в загородные оздоровительные организации отдыха детей и их оздоровления в каникулярное время</t>
  </si>
  <si>
    <t>0400170630</t>
  </si>
  <si>
    <t>Реализация проектов-победителей конкурсов в сфере молодежной политики</t>
  </si>
  <si>
    <t xml:space="preserve">      Основное мероприятие "Федеральный проект "Безопасность дорожного движения" национального проекта "Безопасные качественные дороги"</t>
  </si>
  <si>
    <t>0160140060</t>
  </si>
  <si>
    <t xml:space="preserve">        Строительство блочно-модульной котельной по адресу: г. Муром, ул. Лаврентьева, 45 установленной мощностью 6,45 Гкал/час</t>
  </si>
  <si>
    <t>0110240050</t>
  </si>
  <si>
    <t xml:space="preserve">        Пешеходные мосты через декоративный водоем на территории округа Муром</t>
  </si>
  <si>
    <t>0610272040</t>
  </si>
  <si>
    <t>Реализация мероприятий по текущему ремонту объектов образования муниципальной собственности, связанных с реализацией региональных проектов</t>
  </si>
  <si>
    <t>151F25555D</t>
  </si>
  <si>
    <t>0120210660</t>
  </si>
  <si>
    <t xml:space="preserve">        Разработка программы комплексного развития систем коммунальной инфраструктуры округа Муром</t>
  </si>
  <si>
    <t xml:space="preserve">              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</si>
  <si>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0300272070</t>
  </si>
  <si>
    <t xml:space="preserve">       Развитие олимпийского вида спорта "кёрлинг"</t>
  </si>
  <si>
    <t>9990010690</t>
  </si>
  <si>
    <t xml:space="preserve">        Приобретение металлических шкафов для избирательных участков на период проведения избирательных кампаний в 2021 году и последующих годах</t>
  </si>
  <si>
    <t xml:space="preserve">           Обеспечение мероприятий по капитальному ремонту многоквартирных домов</t>
  </si>
  <si>
    <t>9990009501</t>
  </si>
  <si>
    <t>03002S2070</t>
  </si>
  <si>
    <t>06102S2040</t>
  </si>
  <si>
    <t>06102L2554</t>
  </si>
  <si>
    <t>06102L2555</t>
  </si>
  <si>
    <t xml:space="preserve">        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систем водоснабжения и отопления МБОУ СОШ № 4 г. Муром)</t>
  </si>
  <si>
    <t xml:space="preserve">    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систем водоснабжения и отопления МБОУ СОШ № 18 г. Муром)</t>
  </si>
  <si>
    <t>061027148Г</t>
  </si>
  <si>
    <t>061027148Д</t>
  </si>
  <si>
    <t xml:space="preserve">            Грантовая поддержка организаций в сфере образования (победители регионального конкурса муниципальных общеобразовательных организаций, внедряющих инновационные образовательные программы)</t>
  </si>
  <si>
    <t xml:space="preserve">           Грантовая поддержка организаций в сфере образования (победители и лауреаты регионального конкурса на присуждение премий лучшим учителям за достижения в педагогической деятельности)</t>
  </si>
  <si>
    <t xml:space="preserve">                   Грантовая поддержка организаций в сфере образования (победители регионального конкурса "Лучший загородный оздоровительный лагерь")</t>
  </si>
  <si>
    <t>061047148Л</t>
  </si>
  <si>
    <t>9990010040</t>
  </si>
  <si>
    <t>Денежные выплаты Главы округа Муром для одаренной и талантливой молодежи в области театрального искусства</t>
  </si>
  <si>
    <t>0900420230</t>
  </si>
  <si>
    <t xml:space="preserve">              Исполнение мероприятий по созданию благоприятных условий по развитию туризма</t>
  </si>
  <si>
    <t xml:space="preserve">          Подпрограмма "Благоустройство территорий для развития их туристического потенциала"</t>
  </si>
  <si>
    <t xml:space="preserve">            Основное мероприятие "Мероприятие по благоустройству территорий"</t>
  </si>
  <si>
    <t xml:space="preserve">              Проведение мероприятий по благоустройству территорий муниципальных образований Владимирской области</t>
  </si>
  <si>
    <t>1530100000</t>
  </si>
  <si>
    <t>1530172050</t>
  </si>
  <si>
    <t>0120140010</t>
  </si>
  <si>
    <t xml:space="preserve">           Строительство (реконструкция) объектов муниципальной собственности округа</t>
  </si>
  <si>
    <t>15301S2050</t>
  </si>
  <si>
    <t>от 08.10.2021  № 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</si>
</sst>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00"/>
    <numFmt numFmtId="166" formatCode="#,##0.00000"/>
  </numFmts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58">
    <xf numFmtId="0" fontId="0" fillId="0" borderId="0" xfId="0"/>
    <xf numFmtId="0" fontId="5" fillId="0" borderId="5" xfId="9" applyNumberFormat="1" applyFont="1" applyFill="1" applyBorder="1" applyAlignment="1" applyProtection="1">
      <alignment horizontal="center" vertical="center" wrapText="1"/>
    </xf>
    <xf numFmtId="0" fontId="6" fillId="0" borderId="5" xfId="9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>
      <protection locked="0"/>
    </xf>
    <xf numFmtId="0" fontId="8" fillId="0" borderId="1" xfId="2" applyNumberFormat="1" applyFont="1" applyFill="1" applyProtection="1"/>
    <xf numFmtId="0" fontId="7" fillId="0" borderId="4" xfId="5" applyNumberFormat="1" applyFont="1" applyFill="1" applyBorder="1" applyProtection="1">
      <alignment vertical="top" wrapText="1"/>
    </xf>
    <xf numFmtId="1" fontId="8" fillId="0" borderId="2" xfId="6" applyNumberFormat="1" applyFont="1" applyFill="1" applyProtection="1">
      <alignment horizontal="center" vertical="top" shrinkToFit="1"/>
    </xf>
    <xf numFmtId="0" fontId="9" fillId="0" borderId="0" xfId="0" applyFont="1" applyFill="1" applyProtection="1">
      <protection locked="0"/>
    </xf>
    <xf numFmtId="0" fontId="7" fillId="0" borderId="1" xfId="2" applyNumberFormat="1" applyFont="1" applyFill="1" applyProtection="1"/>
    <xf numFmtId="1" fontId="7" fillId="0" borderId="4" xfId="6" applyNumberFormat="1" applyFont="1" applyFill="1" applyBorder="1" applyProtection="1">
      <alignment horizontal="center" vertical="top" shrinkToFit="1"/>
    </xf>
    <xf numFmtId="0" fontId="8" fillId="0" borderId="2" xfId="5" applyNumberFormat="1" applyFont="1" applyFill="1" applyProtection="1">
      <alignment vertical="top" wrapText="1"/>
    </xf>
    <xf numFmtId="0" fontId="7" fillId="0" borderId="5" xfId="9" applyNumberFormat="1" applyFont="1" applyFill="1" applyBorder="1" applyAlignment="1" applyProtection="1"/>
    <xf numFmtId="0" fontId="10" fillId="0" borderId="1" xfId="2" applyNumberFormat="1" applyFont="1" applyFill="1" applyProtection="1"/>
    <xf numFmtId="0" fontId="11" fillId="0" borderId="0" xfId="0" applyFont="1" applyFill="1" applyProtection="1">
      <protection locked="0"/>
    </xf>
    <xf numFmtId="49" fontId="5" fillId="0" borderId="5" xfId="9" applyNumberFormat="1" applyFont="1" applyFill="1" applyBorder="1" applyAlignment="1" applyProtection="1">
      <alignment horizontal="center" vertical="center" wrapText="1"/>
    </xf>
    <xf numFmtId="49" fontId="7" fillId="0" borderId="4" xfId="6" applyNumberFormat="1" applyFont="1" applyFill="1" applyBorder="1" applyProtection="1">
      <alignment horizontal="center" vertical="top" shrinkToFit="1"/>
    </xf>
    <xf numFmtId="49" fontId="8" fillId="0" borderId="2" xfId="6" applyNumberFormat="1" applyFont="1" applyFill="1" applyProtection="1">
      <alignment horizontal="center" vertical="top" shrinkToFit="1"/>
    </xf>
    <xf numFmtId="49" fontId="7" fillId="0" borderId="5" xfId="9" applyNumberFormat="1" applyFont="1" applyFill="1" applyBorder="1" applyAlignment="1"/>
    <xf numFmtId="49" fontId="6" fillId="0" borderId="0" xfId="0" applyNumberFormat="1" applyFont="1" applyFill="1" applyProtection="1">
      <protection locked="0"/>
    </xf>
    <xf numFmtId="164" fontId="8" fillId="0" borderId="1" xfId="2" applyNumberFormat="1" applyFont="1" applyFill="1" applyProtection="1"/>
    <xf numFmtId="0" fontId="8" fillId="0" borderId="5" xfId="2" applyNumberFormat="1" applyFont="1" applyFill="1" applyBorder="1" applyProtection="1"/>
    <xf numFmtId="49" fontId="8" fillId="0" borderId="5" xfId="2" applyNumberFormat="1" applyFont="1" applyFill="1" applyBorder="1" applyProtection="1"/>
    <xf numFmtId="0" fontId="6" fillId="0" borderId="5" xfId="0" applyFont="1" applyFill="1" applyBorder="1" applyProtection="1">
      <protection locked="0"/>
    </xf>
    <xf numFmtId="49" fontId="6" fillId="0" borderId="5" xfId="0" applyNumberFormat="1" applyFont="1" applyFill="1" applyBorder="1" applyProtection="1">
      <protection locked="0"/>
    </xf>
    <xf numFmtId="0" fontId="8" fillId="0" borderId="5" xfId="12" applyNumberFormat="1" applyFont="1" applyFill="1" applyBorder="1" applyAlignment="1" applyProtection="1">
      <alignment wrapText="1"/>
    </xf>
    <xf numFmtId="0" fontId="8" fillId="0" borderId="5" xfId="12" applyFont="1" applyFill="1" applyBorder="1" applyAlignment="1">
      <alignment wrapText="1"/>
    </xf>
    <xf numFmtId="165" fontId="6" fillId="0" borderId="5" xfId="0" applyNumberFormat="1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10" fillId="0" borderId="2" xfId="5" applyNumberFormat="1" applyFont="1" applyFill="1" applyProtection="1">
      <alignment vertical="top" wrapText="1"/>
    </xf>
    <xf numFmtId="1" fontId="10" fillId="0" borderId="2" xfId="6" applyNumberFormat="1" applyFont="1" applyFill="1" applyProtection="1">
      <alignment horizontal="center" vertical="top" shrinkToFit="1"/>
    </xf>
    <xf numFmtId="49" fontId="10" fillId="0" borderId="2" xfId="6" applyNumberFormat="1" applyFont="1" applyFill="1" applyProtection="1">
      <alignment horizontal="center" vertical="top" shrinkToFit="1"/>
    </xf>
    <xf numFmtId="0" fontId="7" fillId="0" borderId="2" xfId="5" applyNumberFormat="1" applyFont="1" applyFill="1" applyProtection="1">
      <alignment vertical="top" wrapText="1"/>
    </xf>
    <xf numFmtId="1" fontId="7" fillId="0" borderId="2" xfId="6" applyNumberFormat="1" applyFont="1" applyFill="1" applyProtection="1">
      <alignment horizontal="center" vertical="top" shrinkToFit="1"/>
    </xf>
    <xf numFmtId="49" fontId="7" fillId="0" borderId="2" xfId="6" applyNumberFormat="1" applyFont="1" applyFill="1" applyProtection="1">
      <alignment horizontal="center" vertical="top" shrinkToFit="1"/>
    </xf>
    <xf numFmtId="166" fontId="8" fillId="0" borderId="5" xfId="2" applyNumberFormat="1" applyFont="1" applyFill="1" applyBorder="1" applyProtection="1"/>
    <xf numFmtId="166" fontId="8" fillId="0" borderId="5" xfId="12" applyNumberFormat="1" applyFont="1" applyFill="1" applyBorder="1" applyAlignment="1">
      <alignment wrapText="1"/>
    </xf>
    <xf numFmtId="166" fontId="6" fillId="0" borderId="5" xfId="0" applyNumberFormat="1" applyFont="1" applyFill="1" applyBorder="1" applyProtection="1">
      <protection locked="0"/>
    </xf>
    <xf numFmtId="164" fontId="8" fillId="0" borderId="2" xfId="5" applyNumberFormat="1" applyFont="1" applyFill="1" applyBorder="1" applyAlignment="1" applyProtection="1">
      <alignment vertical="top" wrapText="1"/>
    </xf>
    <xf numFmtId="49" fontId="12" fillId="0" borderId="2" xfId="6" applyNumberFormat="1" applyFont="1" applyFill="1" applyAlignment="1" applyProtection="1">
      <alignment horizontal="center" vertical="top" shrinkToFit="1"/>
    </xf>
    <xf numFmtId="164" fontId="12" fillId="0" borderId="6" xfId="5" applyNumberFormat="1" applyFont="1" applyFill="1" applyBorder="1" applyAlignment="1" applyProtection="1">
      <alignment vertical="top" wrapText="1"/>
    </xf>
    <xf numFmtId="49" fontId="8" fillId="0" borderId="8" xfId="6" applyNumberFormat="1" applyFont="1" applyFill="1" applyBorder="1" applyProtection="1">
      <alignment horizontal="center" vertical="top" shrinkToFit="1"/>
    </xf>
    <xf numFmtId="0" fontId="8" fillId="0" borderId="7" xfId="10" applyNumberFormat="1" applyFont="1" applyFill="1" applyBorder="1" applyAlignment="1" applyProtection="1">
      <alignment horizontal="left" vertical="top" wrapText="1"/>
    </xf>
    <xf numFmtId="1" fontId="8" fillId="0" borderId="8" xfId="6" applyNumberFormat="1" applyFont="1" applyFill="1" applyBorder="1" applyProtection="1">
      <alignment horizontal="center" vertical="top" shrinkToFit="1"/>
    </xf>
    <xf numFmtId="0" fontId="8" fillId="0" borderId="2" xfId="6" applyNumberFormat="1" applyFont="1" applyFill="1" applyProtection="1">
      <alignment horizontal="center" vertical="top" shrinkToFit="1"/>
    </xf>
    <xf numFmtId="0" fontId="6" fillId="0" borderId="9" xfId="0" applyFont="1" applyFill="1" applyBorder="1" applyAlignment="1">
      <alignment wrapText="1"/>
    </xf>
    <xf numFmtId="164" fontId="7" fillId="0" borderId="4" xfId="7" applyNumberFormat="1" applyFont="1" applyFill="1" applyBorder="1" applyProtection="1">
      <alignment horizontal="right" vertical="top" shrinkToFit="1"/>
    </xf>
    <xf numFmtId="164" fontId="10" fillId="0" borderId="2" xfId="7" applyNumberFormat="1" applyFont="1" applyFill="1" applyProtection="1">
      <alignment horizontal="right" vertical="top" shrinkToFit="1"/>
    </xf>
    <xf numFmtId="164" fontId="8" fillId="0" borderId="2" xfId="7" applyNumberFormat="1" applyFont="1" applyFill="1" applyProtection="1">
      <alignment horizontal="right" vertical="top" shrinkToFit="1"/>
    </xf>
    <xf numFmtId="164" fontId="7" fillId="0" borderId="2" xfId="7" applyNumberFormat="1" applyFont="1" applyFill="1" applyProtection="1">
      <alignment horizontal="right" vertical="top" shrinkToFit="1"/>
    </xf>
    <xf numFmtId="164" fontId="7" fillId="0" borderId="5" xfId="10" applyNumberFormat="1" applyFont="1" applyFill="1" applyBorder="1" applyProtection="1">
      <alignment horizontal="right" vertical="top" shrinkToFit="1"/>
    </xf>
    <xf numFmtId="0" fontId="8" fillId="0" borderId="1" xfId="3" applyNumberFormat="1" applyFont="1" applyFill="1" applyProtection="1">
      <alignment horizontal="right"/>
    </xf>
    <xf numFmtId="0" fontId="8" fillId="0" borderId="1" xfId="3" applyFont="1" applyFill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 vertical="top"/>
    </xf>
    <xf numFmtId="0" fontId="7" fillId="0" borderId="1" xfId="1" applyNumberFormat="1" applyFont="1" applyFill="1" applyAlignment="1" applyProtection="1">
      <alignment horizontal="center" wrapText="1"/>
    </xf>
    <xf numFmtId="0" fontId="7" fillId="0" borderId="1" xfId="1" applyFont="1" applyFill="1" applyAlignment="1">
      <alignment horizontal="center" wrapText="1"/>
    </xf>
    <xf numFmtId="0" fontId="8" fillId="0" borderId="1" xfId="1" applyNumberFormat="1" applyFont="1" applyFill="1" applyProtection="1">
      <alignment horizontal="center"/>
    </xf>
    <xf numFmtId="0" fontId="8" fillId="0" borderId="1" xfId="1" applyFont="1" applyFill="1">
      <alignment horizontal="center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6"/>
  <sheetViews>
    <sheetView showGridLines="0" tabSelected="1" zoomScaleNormal="100" zoomScaleSheetLayoutView="100" workbookViewId="0">
      <pane ySplit="7" topLeftCell="A658" activePane="bottomLeft" state="frozen"/>
      <selection pane="bottomLeft" activeCell="A4" sqref="A4:H4"/>
    </sheetView>
  </sheetViews>
  <sheetFormatPr defaultColWidth="8.85546875" defaultRowHeight="15.75" outlineLevelRow="6" x14ac:dyDescent="0.25"/>
  <cols>
    <col min="1" max="1" width="43.5703125" style="3" customWidth="1"/>
    <col min="2" max="2" width="12.42578125" style="3" customWidth="1"/>
    <col min="3" max="3" width="8.7109375" style="3" customWidth="1"/>
    <col min="4" max="4" width="6.5703125" style="18" customWidth="1"/>
    <col min="5" max="5" width="7.7109375" style="18" customWidth="1"/>
    <col min="6" max="8" width="12.85546875" style="3" customWidth="1"/>
    <col min="9" max="9" width="18.7109375" style="3" customWidth="1"/>
    <col min="10" max="16384" width="8.85546875" style="3"/>
  </cols>
  <sheetData>
    <row r="1" spans="1:9" x14ac:dyDescent="0.25">
      <c r="A1" s="52" t="s">
        <v>591</v>
      </c>
      <c r="B1" s="52"/>
      <c r="C1" s="52"/>
      <c r="D1" s="52"/>
      <c r="E1" s="52"/>
      <c r="F1" s="52"/>
      <c r="G1" s="52"/>
      <c r="H1" s="52"/>
    </row>
    <row r="2" spans="1:9" x14ac:dyDescent="0.25">
      <c r="A2" s="52" t="s">
        <v>590</v>
      </c>
      <c r="B2" s="52"/>
      <c r="C2" s="52"/>
      <c r="D2" s="52"/>
      <c r="E2" s="52"/>
      <c r="F2" s="52"/>
      <c r="G2" s="52"/>
      <c r="H2" s="52"/>
    </row>
    <row r="3" spans="1:9" x14ac:dyDescent="0.25">
      <c r="A3" s="53" t="s">
        <v>690</v>
      </c>
      <c r="B3" s="53"/>
      <c r="C3" s="53"/>
      <c r="D3" s="53"/>
      <c r="E3" s="53"/>
      <c r="F3" s="53"/>
      <c r="G3" s="53"/>
      <c r="H3" s="53"/>
    </row>
    <row r="4" spans="1:9" ht="66" customHeight="1" x14ac:dyDescent="0.25">
      <c r="A4" s="54" t="s">
        <v>581</v>
      </c>
      <c r="B4" s="54"/>
      <c r="C4" s="54"/>
      <c r="D4" s="55"/>
      <c r="E4" s="55"/>
      <c r="F4" s="55"/>
      <c r="G4" s="55"/>
      <c r="H4" s="55"/>
      <c r="I4" s="4"/>
    </row>
    <row r="5" spans="1:9" ht="15.75" customHeight="1" x14ac:dyDescent="0.25">
      <c r="A5" s="56"/>
      <c r="B5" s="56"/>
      <c r="C5" s="56"/>
      <c r="D5" s="57"/>
      <c r="E5" s="57"/>
      <c r="F5" s="57"/>
      <c r="G5" s="57"/>
      <c r="H5" s="57"/>
      <c r="I5" s="4"/>
    </row>
    <row r="6" spans="1:9" ht="12" customHeight="1" x14ac:dyDescent="0.25">
      <c r="A6" s="50" t="s">
        <v>580</v>
      </c>
      <c r="B6" s="50"/>
      <c r="C6" s="50"/>
      <c r="D6" s="51"/>
      <c r="E6" s="51"/>
      <c r="F6" s="51"/>
      <c r="G6" s="51"/>
      <c r="H6" s="51"/>
      <c r="I6" s="4"/>
    </row>
    <row r="7" spans="1:9" ht="41.25" customHeight="1" x14ac:dyDescent="0.25">
      <c r="A7" s="1" t="s">
        <v>582</v>
      </c>
      <c r="B7" s="1" t="s">
        <v>583</v>
      </c>
      <c r="C7" s="1" t="s">
        <v>588</v>
      </c>
      <c r="D7" s="14" t="s">
        <v>584</v>
      </c>
      <c r="E7" s="14" t="s">
        <v>585</v>
      </c>
      <c r="F7" s="2" t="s">
        <v>586</v>
      </c>
      <c r="G7" s="2" t="s">
        <v>587</v>
      </c>
      <c r="H7" s="2" t="s">
        <v>589</v>
      </c>
      <c r="I7" s="4"/>
    </row>
    <row r="8" spans="1:9" s="7" customFormat="1" ht="63" x14ac:dyDescent="0.25">
      <c r="A8" s="5" t="s">
        <v>0</v>
      </c>
      <c r="B8" s="9" t="s">
        <v>3</v>
      </c>
      <c r="C8" s="9" t="s">
        <v>1</v>
      </c>
      <c r="D8" s="15" t="s">
        <v>2</v>
      </c>
      <c r="E8" s="15" t="s">
        <v>2</v>
      </c>
      <c r="F8" s="45">
        <f>F9+F42+F55+F65+F75+F83+F91</f>
        <v>482425.64299999992</v>
      </c>
      <c r="G8" s="45">
        <f t="shared" ref="G8:H8" si="0">G9+G42+G55+G65+G75+G83+G91</f>
        <v>446541.17368000001</v>
      </c>
      <c r="H8" s="45">
        <f t="shared" si="0"/>
        <v>212960.97368000002</v>
      </c>
      <c r="I8" s="8"/>
    </row>
    <row r="9" spans="1:9" s="13" customFormat="1" ht="47.25" outlineLevel="1" x14ac:dyDescent="0.25">
      <c r="A9" s="28" t="s">
        <v>4</v>
      </c>
      <c r="B9" s="29" t="s">
        <v>5</v>
      </c>
      <c r="C9" s="29" t="s">
        <v>1</v>
      </c>
      <c r="D9" s="30" t="s">
        <v>2</v>
      </c>
      <c r="E9" s="30" t="s">
        <v>2</v>
      </c>
      <c r="F9" s="46">
        <f>F10+F23+F33+F39</f>
        <v>142180.65474</v>
      </c>
      <c r="G9" s="46">
        <f t="shared" ref="G9:H9" si="1">G10+G23+G33+G39</f>
        <v>74972.602320000005</v>
      </c>
      <c r="H9" s="46">
        <f t="shared" si="1"/>
        <v>96038.47368000001</v>
      </c>
      <c r="I9" s="12"/>
    </row>
    <row r="10" spans="1:9" ht="47.25" outlineLevel="2" x14ac:dyDescent="0.25">
      <c r="A10" s="10" t="s">
        <v>6</v>
      </c>
      <c r="B10" s="6" t="s">
        <v>7</v>
      </c>
      <c r="C10" s="6" t="s">
        <v>1</v>
      </c>
      <c r="D10" s="16" t="s">
        <v>2</v>
      </c>
      <c r="E10" s="16" t="s">
        <v>2</v>
      </c>
      <c r="F10" s="47">
        <f>F11+F16+F20</f>
        <v>19957.488150000001</v>
      </c>
      <c r="G10" s="47">
        <f t="shared" ref="G10:H10" si="2">G11+G16+G20</f>
        <v>21420.600000000002</v>
      </c>
      <c r="H10" s="47">
        <f t="shared" si="2"/>
        <v>21420.600000000002</v>
      </c>
      <c r="I10" s="4"/>
    </row>
    <row r="11" spans="1:9" ht="47.25" outlineLevel="3" x14ac:dyDescent="0.25">
      <c r="A11" s="10" t="s">
        <v>8</v>
      </c>
      <c r="B11" s="6" t="s">
        <v>9</v>
      </c>
      <c r="C11" s="6" t="s">
        <v>1</v>
      </c>
      <c r="D11" s="16" t="s">
        <v>2</v>
      </c>
      <c r="E11" s="16" t="s">
        <v>2</v>
      </c>
      <c r="F11" s="47">
        <f>F12+F13+F14+F15</f>
        <v>9529.7000000000007</v>
      </c>
      <c r="G11" s="47">
        <f t="shared" ref="G11:H11" si="3">G12+G13+G14+G15</f>
        <v>9729.7000000000007</v>
      </c>
      <c r="H11" s="47">
        <f t="shared" si="3"/>
        <v>9729.7000000000007</v>
      </c>
      <c r="I11" s="4"/>
    </row>
    <row r="12" spans="1:9" ht="110.25" outlineLevel="6" x14ac:dyDescent="0.25">
      <c r="A12" s="10" t="s">
        <v>10</v>
      </c>
      <c r="B12" s="6" t="s">
        <v>9</v>
      </c>
      <c r="C12" s="6" t="s">
        <v>11</v>
      </c>
      <c r="D12" s="16" t="s">
        <v>12</v>
      </c>
      <c r="E12" s="16" t="s">
        <v>13</v>
      </c>
      <c r="F12" s="47">
        <f>3572.9-18</f>
        <v>3554.9</v>
      </c>
      <c r="G12" s="47">
        <v>3572.9</v>
      </c>
      <c r="H12" s="47">
        <v>3572.9</v>
      </c>
      <c r="I12" s="4"/>
    </row>
    <row r="13" spans="1:9" ht="110.25" outlineLevel="6" x14ac:dyDescent="0.25">
      <c r="A13" s="10" t="s">
        <v>10</v>
      </c>
      <c r="B13" s="6" t="s">
        <v>9</v>
      </c>
      <c r="C13" s="6" t="s">
        <v>11</v>
      </c>
      <c r="D13" s="16" t="s">
        <v>14</v>
      </c>
      <c r="E13" s="16" t="s">
        <v>14</v>
      </c>
      <c r="F13" s="47">
        <v>5718.8</v>
      </c>
      <c r="G13" s="47">
        <v>5718.8</v>
      </c>
      <c r="H13" s="47">
        <v>5718.8</v>
      </c>
      <c r="I13" s="4"/>
    </row>
    <row r="14" spans="1:9" ht="47.25" outlineLevel="6" x14ac:dyDescent="0.25">
      <c r="A14" s="10" t="s">
        <v>15</v>
      </c>
      <c r="B14" s="6" t="s">
        <v>9</v>
      </c>
      <c r="C14" s="6" t="s">
        <v>16</v>
      </c>
      <c r="D14" s="16" t="s">
        <v>12</v>
      </c>
      <c r="E14" s="16" t="s">
        <v>13</v>
      </c>
      <c r="F14" s="47">
        <f>80.7+18</f>
        <v>98.7</v>
      </c>
      <c r="G14" s="47">
        <v>80.7</v>
      </c>
      <c r="H14" s="47">
        <v>80.7</v>
      </c>
      <c r="I14" s="4"/>
    </row>
    <row r="15" spans="1:9" ht="47.25" outlineLevel="6" x14ac:dyDescent="0.25">
      <c r="A15" s="10" t="s">
        <v>15</v>
      </c>
      <c r="B15" s="6" t="s">
        <v>9</v>
      </c>
      <c r="C15" s="6" t="s">
        <v>16</v>
      </c>
      <c r="D15" s="16" t="s">
        <v>14</v>
      </c>
      <c r="E15" s="16" t="s">
        <v>14</v>
      </c>
      <c r="F15" s="47">
        <f>357.3-200</f>
        <v>157.30000000000001</v>
      </c>
      <c r="G15" s="47">
        <v>357.3</v>
      </c>
      <c r="H15" s="47">
        <v>357.3</v>
      </c>
      <c r="I15" s="4"/>
    </row>
    <row r="16" spans="1:9" ht="47.25" outlineLevel="3" x14ac:dyDescent="0.25">
      <c r="A16" s="10" t="s">
        <v>17</v>
      </c>
      <c r="B16" s="6" t="s">
        <v>18</v>
      </c>
      <c r="C16" s="6" t="s">
        <v>1</v>
      </c>
      <c r="D16" s="16" t="s">
        <v>2</v>
      </c>
      <c r="E16" s="16" t="s">
        <v>2</v>
      </c>
      <c r="F16" s="47">
        <f>F17+F18+F19</f>
        <v>6574.5879300000006</v>
      </c>
      <c r="G16" s="47">
        <f t="shared" ref="G16:H16" si="4">G17+G18+G19</f>
        <v>7959.1</v>
      </c>
      <c r="H16" s="47">
        <f t="shared" si="4"/>
        <v>7959.1</v>
      </c>
      <c r="I16" s="4"/>
    </row>
    <row r="17" spans="1:9" ht="110.25" outlineLevel="4" x14ac:dyDescent="0.25">
      <c r="A17" s="10" t="s">
        <v>10</v>
      </c>
      <c r="B17" s="6" t="s">
        <v>18</v>
      </c>
      <c r="C17" s="6" t="s">
        <v>11</v>
      </c>
      <c r="D17" s="16" t="s">
        <v>14</v>
      </c>
      <c r="E17" s="16" t="s">
        <v>14</v>
      </c>
      <c r="F17" s="47">
        <f>6889.6-1039.51207</f>
        <v>5850.0879300000006</v>
      </c>
      <c r="G17" s="47">
        <v>6889.6</v>
      </c>
      <c r="H17" s="47">
        <v>6889.6</v>
      </c>
      <c r="I17" s="4"/>
    </row>
    <row r="18" spans="1:9" ht="47.25" outlineLevel="4" x14ac:dyDescent="0.25">
      <c r="A18" s="10" t="s">
        <v>15</v>
      </c>
      <c r="B18" s="6" t="s">
        <v>18</v>
      </c>
      <c r="C18" s="6" t="s">
        <v>16</v>
      </c>
      <c r="D18" s="16" t="s">
        <v>14</v>
      </c>
      <c r="E18" s="16" t="s">
        <v>14</v>
      </c>
      <c r="F18" s="47">
        <f>962.2-119-200-45</f>
        <v>598.20000000000005</v>
      </c>
      <c r="G18" s="47">
        <v>962.2</v>
      </c>
      <c r="H18" s="47">
        <v>962.2</v>
      </c>
      <c r="I18" s="4"/>
    </row>
    <row r="19" spans="1:9" outlineLevel="4" x14ac:dyDescent="0.25">
      <c r="A19" s="10" t="s">
        <v>19</v>
      </c>
      <c r="B19" s="6" t="s">
        <v>18</v>
      </c>
      <c r="C19" s="6" t="s">
        <v>20</v>
      </c>
      <c r="D19" s="16" t="s">
        <v>14</v>
      </c>
      <c r="E19" s="16" t="s">
        <v>14</v>
      </c>
      <c r="F19" s="47">
        <f>107.3+19</f>
        <v>126.3</v>
      </c>
      <c r="G19" s="47">
        <v>107.3</v>
      </c>
      <c r="H19" s="47">
        <v>107.3</v>
      </c>
      <c r="I19" s="4"/>
    </row>
    <row r="20" spans="1:9" ht="47.25" outlineLevel="3" x14ac:dyDescent="0.25">
      <c r="A20" s="10" t="s">
        <v>21</v>
      </c>
      <c r="B20" s="6" t="s">
        <v>22</v>
      </c>
      <c r="C20" s="6" t="s">
        <v>1</v>
      </c>
      <c r="D20" s="16" t="s">
        <v>2</v>
      </c>
      <c r="E20" s="16" t="s">
        <v>2</v>
      </c>
      <c r="F20" s="47">
        <f>F21+F22</f>
        <v>3853.2002200000002</v>
      </c>
      <c r="G20" s="47">
        <f t="shared" ref="G20:H20" si="5">G21+G22</f>
        <v>3731.8</v>
      </c>
      <c r="H20" s="47">
        <f t="shared" si="5"/>
        <v>3731.8</v>
      </c>
      <c r="I20" s="4"/>
    </row>
    <row r="21" spans="1:9" ht="110.25" outlineLevel="4" x14ac:dyDescent="0.25">
      <c r="A21" s="10" t="s">
        <v>10</v>
      </c>
      <c r="B21" s="6" t="s">
        <v>22</v>
      </c>
      <c r="C21" s="6" t="s">
        <v>11</v>
      </c>
      <c r="D21" s="16" t="s">
        <v>14</v>
      </c>
      <c r="E21" s="16" t="s">
        <v>14</v>
      </c>
      <c r="F21" s="47">
        <f>3320+121.40022</f>
        <v>3441.40022</v>
      </c>
      <c r="G21" s="47">
        <v>3320</v>
      </c>
      <c r="H21" s="47">
        <v>3320</v>
      </c>
      <c r="I21" s="4"/>
    </row>
    <row r="22" spans="1:9" ht="47.25" outlineLevel="4" x14ac:dyDescent="0.25">
      <c r="A22" s="10" t="s">
        <v>15</v>
      </c>
      <c r="B22" s="6" t="s">
        <v>22</v>
      </c>
      <c r="C22" s="6" t="s">
        <v>16</v>
      </c>
      <c r="D22" s="16" t="s">
        <v>14</v>
      </c>
      <c r="E22" s="16" t="s">
        <v>14</v>
      </c>
      <c r="F22" s="47">
        <v>411.8</v>
      </c>
      <c r="G22" s="47">
        <v>411.8</v>
      </c>
      <c r="H22" s="47">
        <v>411.8</v>
      </c>
      <c r="I22" s="4"/>
    </row>
    <row r="23" spans="1:9" ht="47.25" outlineLevel="2" x14ac:dyDescent="0.25">
      <c r="A23" s="10" t="s">
        <v>23</v>
      </c>
      <c r="B23" s="6" t="s">
        <v>24</v>
      </c>
      <c r="C23" s="6" t="s">
        <v>1</v>
      </c>
      <c r="D23" s="16" t="s">
        <v>2</v>
      </c>
      <c r="E23" s="16" t="s">
        <v>2</v>
      </c>
      <c r="F23" s="47">
        <f>F24+F27+F29+F31</f>
        <v>113550.26659000001</v>
      </c>
      <c r="G23" s="47">
        <f t="shared" ref="G23:H23" si="6">G24+G27+G29</f>
        <v>45212.973680000003</v>
      </c>
      <c r="H23" s="47">
        <f t="shared" si="6"/>
        <v>52567.873680000004</v>
      </c>
      <c r="I23" s="4"/>
    </row>
    <row r="24" spans="1:9" ht="48" customHeight="1" outlineLevel="3" x14ac:dyDescent="0.25">
      <c r="A24" s="10" t="s">
        <v>25</v>
      </c>
      <c r="B24" s="6" t="s">
        <v>26</v>
      </c>
      <c r="C24" s="6" t="s">
        <v>1</v>
      </c>
      <c r="D24" s="16" t="s">
        <v>2</v>
      </c>
      <c r="E24" s="16" t="s">
        <v>2</v>
      </c>
      <c r="F24" s="47">
        <f>F26+F25</f>
        <v>108649.75485000001</v>
      </c>
      <c r="G24" s="47">
        <f>G26+G25</f>
        <v>41682.97</v>
      </c>
      <c r="H24" s="47">
        <f>H26+H25</f>
        <v>49037.87</v>
      </c>
      <c r="I24" s="4"/>
    </row>
    <row r="25" spans="1:9" ht="95.25" customHeight="1" outlineLevel="3" x14ac:dyDescent="0.25">
      <c r="A25" s="10" t="s">
        <v>10</v>
      </c>
      <c r="B25" s="6" t="s">
        <v>26</v>
      </c>
      <c r="C25" s="6">
        <v>100</v>
      </c>
      <c r="D25" s="16" t="s">
        <v>14</v>
      </c>
      <c r="E25" s="16" t="s">
        <v>29</v>
      </c>
      <c r="F25" s="47">
        <f>47.1+172+138</f>
        <v>357.1</v>
      </c>
      <c r="G25" s="47">
        <v>0</v>
      </c>
      <c r="H25" s="47">
        <v>0</v>
      </c>
      <c r="I25" s="4"/>
    </row>
    <row r="26" spans="1:9" ht="49.5" customHeight="1" outlineLevel="4" x14ac:dyDescent="0.25">
      <c r="A26" s="10" t="s">
        <v>27</v>
      </c>
      <c r="B26" s="6" t="s">
        <v>26</v>
      </c>
      <c r="C26" s="6" t="s">
        <v>28</v>
      </c>
      <c r="D26" s="16" t="s">
        <v>14</v>
      </c>
      <c r="E26" s="16" t="s">
        <v>29</v>
      </c>
      <c r="F26" s="47">
        <f>51659.26+24500+10000-3000-2310.1-2133.859+3659.242+918.11185+25000</f>
        <v>108292.65485000001</v>
      </c>
      <c r="G26" s="47">
        <f>53177.77-11494.8</f>
        <v>41682.97</v>
      </c>
      <c r="H26" s="47">
        <f>51418.57-2380.7</f>
        <v>49037.87</v>
      </c>
      <c r="I26" s="4"/>
    </row>
    <row r="27" spans="1:9" ht="31.5" outlineLevel="3" x14ac:dyDescent="0.25">
      <c r="A27" s="10" t="s">
        <v>30</v>
      </c>
      <c r="B27" s="6" t="s">
        <v>31</v>
      </c>
      <c r="C27" s="6" t="s">
        <v>1</v>
      </c>
      <c r="D27" s="16" t="s">
        <v>2</v>
      </c>
      <c r="E27" s="16" t="s">
        <v>2</v>
      </c>
      <c r="F27" s="47">
        <f>F28</f>
        <v>2300</v>
      </c>
      <c r="G27" s="47">
        <f t="shared" ref="G27:H27" si="7">G28</f>
        <v>2300</v>
      </c>
      <c r="H27" s="47">
        <f t="shared" si="7"/>
        <v>2300</v>
      </c>
      <c r="I27" s="4"/>
    </row>
    <row r="28" spans="1:9" ht="47.25" outlineLevel="4" x14ac:dyDescent="0.25">
      <c r="A28" s="10" t="s">
        <v>15</v>
      </c>
      <c r="B28" s="6" t="s">
        <v>31</v>
      </c>
      <c r="C28" s="6" t="s">
        <v>16</v>
      </c>
      <c r="D28" s="16" t="s">
        <v>14</v>
      </c>
      <c r="E28" s="16" t="s">
        <v>29</v>
      </c>
      <c r="F28" s="47">
        <v>2300</v>
      </c>
      <c r="G28" s="47">
        <v>2300</v>
      </c>
      <c r="H28" s="47">
        <v>2300</v>
      </c>
      <c r="I28" s="4"/>
    </row>
    <row r="29" spans="1:9" ht="31.5" outlineLevel="3" x14ac:dyDescent="0.25">
      <c r="A29" s="10" t="s">
        <v>32</v>
      </c>
      <c r="B29" s="6" t="s">
        <v>33</v>
      </c>
      <c r="C29" s="6" t="s">
        <v>1</v>
      </c>
      <c r="D29" s="16" t="s">
        <v>2</v>
      </c>
      <c r="E29" s="16" t="s">
        <v>2</v>
      </c>
      <c r="F29" s="47">
        <f>F30</f>
        <v>2.9897400000000971</v>
      </c>
      <c r="G29" s="47">
        <f t="shared" ref="G29:H29" si="8">G30</f>
        <v>1230.00368</v>
      </c>
      <c r="H29" s="47">
        <f t="shared" si="8"/>
        <v>1230.00368</v>
      </c>
      <c r="I29" s="4"/>
    </row>
    <row r="30" spans="1:9" ht="47.25" outlineLevel="4" x14ac:dyDescent="0.25">
      <c r="A30" s="10" t="s">
        <v>15</v>
      </c>
      <c r="B30" s="6" t="s">
        <v>33</v>
      </c>
      <c r="C30" s="6" t="s">
        <v>16</v>
      </c>
      <c r="D30" s="16" t="s">
        <v>14</v>
      </c>
      <c r="E30" s="16" t="s">
        <v>29</v>
      </c>
      <c r="F30" s="47">
        <f>1230-47.1-172-138+0.08974-870</f>
        <v>2.9897400000000971</v>
      </c>
      <c r="G30" s="47">
        <f>1230+0.00368</f>
        <v>1230.00368</v>
      </c>
      <c r="H30" s="47">
        <f>1230+0.00368</f>
        <v>1230.00368</v>
      </c>
      <c r="I30" s="4"/>
    </row>
    <row r="31" spans="1:9" ht="47.25" outlineLevel="4" x14ac:dyDescent="0.25">
      <c r="A31" s="10" t="s">
        <v>653</v>
      </c>
      <c r="B31" s="16" t="s">
        <v>652</v>
      </c>
      <c r="C31" s="6" t="s">
        <v>1</v>
      </c>
      <c r="D31" s="16" t="s">
        <v>2</v>
      </c>
      <c r="E31" s="16" t="s">
        <v>2</v>
      </c>
      <c r="F31" s="47">
        <f>F32</f>
        <v>2597.5219999999999</v>
      </c>
      <c r="G31" s="47">
        <f t="shared" ref="G31:H31" si="9">G32</f>
        <v>0</v>
      </c>
      <c r="H31" s="47">
        <f t="shared" si="9"/>
        <v>0</v>
      </c>
      <c r="I31" s="4"/>
    </row>
    <row r="32" spans="1:9" ht="47.25" outlineLevel="4" x14ac:dyDescent="0.25">
      <c r="A32" s="10" t="s">
        <v>51</v>
      </c>
      <c r="B32" s="16" t="s">
        <v>652</v>
      </c>
      <c r="C32" s="16" t="s">
        <v>52</v>
      </c>
      <c r="D32" s="16" t="s">
        <v>14</v>
      </c>
      <c r="E32" s="16" t="s">
        <v>29</v>
      </c>
      <c r="F32" s="47">
        <f>50+176.764+2370.758</f>
        <v>2597.5219999999999</v>
      </c>
      <c r="G32" s="47">
        <v>0</v>
      </c>
      <c r="H32" s="47">
        <v>0</v>
      </c>
      <c r="I32" s="4"/>
    </row>
    <row r="33" spans="1:9" ht="47.25" outlineLevel="2" x14ac:dyDescent="0.25">
      <c r="A33" s="10" t="s">
        <v>34</v>
      </c>
      <c r="B33" s="6" t="s">
        <v>35</v>
      </c>
      <c r="C33" s="6" t="s">
        <v>1</v>
      </c>
      <c r="D33" s="16" t="s">
        <v>2</v>
      </c>
      <c r="E33" s="16" t="s">
        <v>2</v>
      </c>
      <c r="F33" s="47">
        <f>F34+F37</f>
        <v>8672.9</v>
      </c>
      <c r="G33" s="47">
        <f t="shared" ref="G33:H33" si="10">G34+G37</f>
        <v>8339.0286400000005</v>
      </c>
      <c r="H33" s="47">
        <f t="shared" si="10"/>
        <v>22050</v>
      </c>
      <c r="I33" s="4"/>
    </row>
    <row r="34" spans="1:9" outlineLevel="3" x14ac:dyDescent="0.25">
      <c r="A34" s="10" t="s">
        <v>36</v>
      </c>
      <c r="B34" s="6" t="s">
        <v>37</v>
      </c>
      <c r="C34" s="6" t="s">
        <v>1</v>
      </c>
      <c r="D34" s="16" t="s">
        <v>2</v>
      </c>
      <c r="E34" s="16" t="s">
        <v>2</v>
      </c>
      <c r="F34" s="47">
        <f>F35+F36</f>
        <v>3257</v>
      </c>
      <c r="G34" s="47">
        <f t="shared" ref="G34:H34" si="11">G35</f>
        <v>3050</v>
      </c>
      <c r="H34" s="47">
        <f t="shared" si="11"/>
        <v>3050</v>
      </c>
      <c r="I34" s="4"/>
    </row>
    <row r="35" spans="1:9" ht="47.25" outlineLevel="4" x14ac:dyDescent="0.25">
      <c r="A35" s="10" t="s">
        <v>15</v>
      </c>
      <c r="B35" s="6" t="s">
        <v>37</v>
      </c>
      <c r="C35" s="6" t="s">
        <v>16</v>
      </c>
      <c r="D35" s="16" t="s">
        <v>14</v>
      </c>
      <c r="E35" s="16" t="s">
        <v>29</v>
      </c>
      <c r="F35" s="47">
        <f>3050-5+207</f>
        <v>3252</v>
      </c>
      <c r="G35" s="47">
        <v>3050</v>
      </c>
      <c r="H35" s="47">
        <v>3050</v>
      </c>
      <c r="I35" s="4"/>
    </row>
    <row r="36" spans="1:9" outlineLevel="4" x14ac:dyDescent="0.25">
      <c r="A36" s="10" t="s">
        <v>19</v>
      </c>
      <c r="B36" s="6" t="s">
        <v>37</v>
      </c>
      <c r="C36" s="6">
        <v>800</v>
      </c>
      <c r="D36" s="16" t="s">
        <v>14</v>
      </c>
      <c r="E36" s="16" t="s">
        <v>29</v>
      </c>
      <c r="F36" s="47">
        <v>5</v>
      </c>
      <c r="G36" s="47">
        <v>0</v>
      </c>
      <c r="H36" s="47">
        <v>0</v>
      </c>
      <c r="I36" s="4"/>
    </row>
    <row r="37" spans="1:9" ht="31.5" outlineLevel="3" x14ac:dyDescent="0.25">
      <c r="A37" s="10" t="s">
        <v>38</v>
      </c>
      <c r="B37" s="6" t="s">
        <v>39</v>
      </c>
      <c r="C37" s="6" t="s">
        <v>1</v>
      </c>
      <c r="D37" s="16" t="s">
        <v>2</v>
      </c>
      <c r="E37" s="16" t="s">
        <v>2</v>
      </c>
      <c r="F37" s="47">
        <f>F38</f>
        <v>5415.9</v>
      </c>
      <c r="G37" s="47">
        <f t="shared" ref="G37:H37" si="12">G38</f>
        <v>5289.0286400000005</v>
      </c>
      <c r="H37" s="47">
        <f t="shared" si="12"/>
        <v>19000</v>
      </c>
      <c r="I37" s="4"/>
    </row>
    <row r="38" spans="1:9" outlineLevel="4" x14ac:dyDescent="0.25">
      <c r="A38" s="10" t="s">
        <v>19</v>
      </c>
      <c r="B38" s="6" t="s">
        <v>39</v>
      </c>
      <c r="C38" s="6" t="s">
        <v>20</v>
      </c>
      <c r="D38" s="16" t="s">
        <v>14</v>
      </c>
      <c r="E38" s="16" t="s">
        <v>29</v>
      </c>
      <c r="F38" s="47">
        <f>6845.9-1430</f>
        <v>5415.9</v>
      </c>
      <c r="G38" s="47">
        <f>19000-13710.97136</f>
        <v>5289.0286400000005</v>
      </c>
      <c r="H38" s="47">
        <f>22245-3245</f>
        <v>19000</v>
      </c>
      <c r="I38" s="4"/>
    </row>
    <row r="39" spans="1:9" ht="47.25" hidden="1" outlineLevel="2" x14ac:dyDescent="0.25">
      <c r="A39" s="10" t="s">
        <v>40</v>
      </c>
      <c r="B39" s="6" t="s">
        <v>41</v>
      </c>
      <c r="C39" s="6" t="s">
        <v>1</v>
      </c>
      <c r="D39" s="16" t="s">
        <v>2</v>
      </c>
      <c r="E39" s="16" t="s">
        <v>2</v>
      </c>
      <c r="F39" s="47">
        <f>F40</f>
        <v>0</v>
      </c>
      <c r="G39" s="47">
        <f t="shared" ref="G39:H40" si="13">G40</f>
        <v>0</v>
      </c>
      <c r="H39" s="47">
        <f t="shared" si="13"/>
        <v>0</v>
      </c>
      <c r="I39" s="4"/>
    </row>
    <row r="40" spans="1:9" ht="94.5" hidden="1" outlineLevel="3" x14ac:dyDescent="0.25">
      <c r="A40" s="10" t="s">
        <v>42</v>
      </c>
      <c r="B40" s="6" t="s">
        <v>43</v>
      </c>
      <c r="C40" s="6" t="s">
        <v>1</v>
      </c>
      <c r="D40" s="16" t="s">
        <v>2</v>
      </c>
      <c r="E40" s="16" t="s">
        <v>2</v>
      </c>
      <c r="F40" s="47">
        <f>F41</f>
        <v>0</v>
      </c>
      <c r="G40" s="47">
        <f t="shared" si="13"/>
        <v>0</v>
      </c>
      <c r="H40" s="47">
        <f t="shared" si="13"/>
        <v>0</v>
      </c>
      <c r="I40" s="4"/>
    </row>
    <row r="41" spans="1:9" ht="47.25" hidden="1" outlineLevel="4" x14ac:dyDescent="0.25">
      <c r="A41" s="10" t="s">
        <v>15</v>
      </c>
      <c r="B41" s="6" t="s">
        <v>43</v>
      </c>
      <c r="C41" s="6" t="s">
        <v>16</v>
      </c>
      <c r="D41" s="16" t="s">
        <v>44</v>
      </c>
      <c r="E41" s="16" t="s">
        <v>14</v>
      </c>
      <c r="F41" s="47">
        <f>231.3-231.3</f>
        <v>0</v>
      </c>
      <c r="G41" s="47">
        <f>231.3-231.3</f>
        <v>0</v>
      </c>
      <c r="H41" s="47">
        <f>231.3-231.3</f>
        <v>0</v>
      </c>
      <c r="I41" s="4"/>
    </row>
    <row r="42" spans="1:9" s="13" customFormat="1" ht="63" outlineLevel="1" collapsed="1" x14ac:dyDescent="0.25">
      <c r="A42" s="28" t="s">
        <v>45</v>
      </c>
      <c r="B42" s="29" t="s">
        <v>46</v>
      </c>
      <c r="C42" s="29" t="s">
        <v>1</v>
      </c>
      <c r="D42" s="30" t="s">
        <v>2</v>
      </c>
      <c r="E42" s="30" t="s">
        <v>2</v>
      </c>
      <c r="F42" s="46">
        <f>F43+F50</f>
        <v>70867.200259999998</v>
      </c>
      <c r="G42" s="46">
        <f t="shared" ref="G42:H42" si="14">G43+G50</f>
        <v>18076</v>
      </c>
      <c r="H42" s="46">
        <f t="shared" si="14"/>
        <v>76</v>
      </c>
      <c r="I42" s="12"/>
    </row>
    <row r="43" spans="1:9" ht="63" outlineLevel="2" x14ac:dyDescent="0.25">
      <c r="A43" s="10" t="s">
        <v>47</v>
      </c>
      <c r="B43" s="6" t="s">
        <v>48</v>
      </c>
      <c r="C43" s="6" t="s">
        <v>1</v>
      </c>
      <c r="D43" s="16" t="s">
        <v>2</v>
      </c>
      <c r="E43" s="16" t="s">
        <v>2</v>
      </c>
      <c r="F43" s="47">
        <f>F46+F48+F44</f>
        <v>70411.200259999998</v>
      </c>
      <c r="G43" s="47">
        <f t="shared" ref="G43:H43" si="15">G46+G48</f>
        <v>18000</v>
      </c>
      <c r="H43" s="47">
        <f t="shared" si="15"/>
        <v>0</v>
      </c>
      <c r="I43" s="4"/>
    </row>
    <row r="44" spans="1:9" ht="46.5" customHeight="1" outlineLevel="2" x14ac:dyDescent="0.25">
      <c r="A44" s="41" t="s">
        <v>688</v>
      </c>
      <c r="B44" s="40" t="s">
        <v>687</v>
      </c>
      <c r="C44" s="16" t="s">
        <v>1</v>
      </c>
      <c r="D44" s="16" t="s">
        <v>2</v>
      </c>
      <c r="E44" s="16" t="s">
        <v>2</v>
      </c>
      <c r="F44" s="47">
        <f>F45</f>
        <v>4602</v>
      </c>
      <c r="G44" s="47">
        <f t="shared" ref="G44:H44" si="16">G45</f>
        <v>0</v>
      </c>
      <c r="H44" s="47">
        <f t="shared" si="16"/>
        <v>0</v>
      </c>
      <c r="I44" s="4"/>
    </row>
    <row r="45" spans="1:9" ht="47.25" outlineLevel="2" x14ac:dyDescent="0.25">
      <c r="A45" s="10" t="s">
        <v>51</v>
      </c>
      <c r="B45" s="16" t="s">
        <v>687</v>
      </c>
      <c r="C45" s="16" t="s">
        <v>52</v>
      </c>
      <c r="D45" s="16" t="s">
        <v>14</v>
      </c>
      <c r="E45" s="16" t="s">
        <v>53</v>
      </c>
      <c r="F45" s="47">
        <v>4602</v>
      </c>
      <c r="G45" s="47">
        <v>0</v>
      </c>
      <c r="H45" s="47">
        <v>0</v>
      </c>
      <c r="I45" s="4"/>
    </row>
    <row r="46" spans="1:9" ht="63" outlineLevel="3" x14ac:dyDescent="0.25">
      <c r="A46" s="10" t="s">
        <v>49</v>
      </c>
      <c r="B46" s="6" t="s">
        <v>50</v>
      </c>
      <c r="C46" s="6" t="s">
        <v>1</v>
      </c>
      <c r="D46" s="16" t="s">
        <v>2</v>
      </c>
      <c r="E46" s="16" t="s">
        <v>2</v>
      </c>
      <c r="F46" s="47">
        <f>F47</f>
        <v>57213.8</v>
      </c>
      <c r="G46" s="47">
        <f t="shared" ref="G46:H46" si="17">G47</f>
        <v>0</v>
      </c>
      <c r="H46" s="47">
        <f t="shared" si="17"/>
        <v>0</v>
      </c>
      <c r="I46" s="4"/>
    </row>
    <row r="47" spans="1:9" ht="47.25" outlineLevel="4" x14ac:dyDescent="0.25">
      <c r="A47" s="10" t="s">
        <v>51</v>
      </c>
      <c r="B47" s="6" t="s">
        <v>50</v>
      </c>
      <c r="C47" s="6" t="s">
        <v>52</v>
      </c>
      <c r="D47" s="16" t="s">
        <v>14</v>
      </c>
      <c r="E47" s="16" t="s">
        <v>53</v>
      </c>
      <c r="F47" s="47">
        <f>27798.5+7411+22004.3</f>
        <v>57213.8</v>
      </c>
      <c r="G47" s="47">
        <v>0</v>
      </c>
      <c r="H47" s="47">
        <v>0</v>
      </c>
      <c r="I47" s="4"/>
    </row>
    <row r="48" spans="1:9" ht="63" outlineLevel="3" x14ac:dyDescent="0.25">
      <c r="A48" s="10" t="s">
        <v>49</v>
      </c>
      <c r="B48" s="6" t="s">
        <v>54</v>
      </c>
      <c r="C48" s="6" t="s">
        <v>1</v>
      </c>
      <c r="D48" s="16" t="s">
        <v>2</v>
      </c>
      <c r="E48" s="16" t="s">
        <v>2</v>
      </c>
      <c r="F48" s="47">
        <f>F49</f>
        <v>8595.4002600000003</v>
      </c>
      <c r="G48" s="47">
        <f t="shared" ref="G48:H48" si="18">G49</f>
        <v>18000</v>
      </c>
      <c r="H48" s="47">
        <f t="shared" si="18"/>
        <v>0</v>
      </c>
      <c r="I48" s="4"/>
    </row>
    <row r="49" spans="1:9" ht="47.25" outlineLevel="4" x14ac:dyDescent="0.25">
      <c r="A49" s="10" t="s">
        <v>51</v>
      </c>
      <c r="B49" s="6" t="s">
        <v>54</v>
      </c>
      <c r="C49" s="6" t="s">
        <v>52</v>
      </c>
      <c r="D49" s="16" t="s">
        <v>14</v>
      </c>
      <c r="E49" s="16" t="s">
        <v>53</v>
      </c>
      <c r="F49" s="47">
        <f>4154.1-0.08974+1107.39+45+3289</f>
        <v>8595.4002600000003</v>
      </c>
      <c r="G49" s="47">
        <v>18000</v>
      </c>
      <c r="H49" s="47">
        <v>0</v>
      </c>
      <c r="I49" s="4"/>
    </row>
    <row r="50" spans="1:9" ht="47.25" outlineLevel="2" x14ac:dyDescent="0.25">
      <c r="A50" s="10" t="s">
        <v>55</v>
      </c>
      <c r="B50" s="6" t="s">
        <v>56</v>
      </c>
      <c r="C50" s="6" t="s">
        <v>1</v>
      </c>
      <c r="D50" s="16" t="s">
        <v>2</v>
      </c>
      <c r="E50" s="16" t="s">
        <v>2</v>
      </c>
      <c r="F50" s="47">
        <f>F51+F53</f>
        <v>456</v>
      </c>
      <c r="G50" s="47">
        <f t="shared" ref="G50:H51" si="19">G51</f>
        <v>76</v>
      </c>
      <c r="H50" s="47">
        <f t="shared" si="19"/>
        <v>76</v>
      </c>
      <c r="I50" s="4"/>
    </row>
    <row r="51" spans="1:9" ht="31.5" outlineLevel="3" x14ac:dyDescent="0.25">
      <c r="A51" s="10" t="s">
        <v>57</v>
      </c>
      <c r="B51" s="6" t="s">
        <v>58</v>
      </c>
      <c r="C51" s="6" t="s">
        <v>1</v>
      </c>
      <c r="D51" s="16" t="s">
        <v>2</v>
      </c>
      <c r="E51" s="16" t="s">
        <v>2</v>
      </c>
      <c r="F51" s="47">
        <f>F52</f>
        <v>76</v>
      </c>
      <c r="G51" s="47">
        <f t="shared" si="19"/>
        <v>76</v>
      </c>
      <c r="H51" s="47">
        <f t="shared" si="19"/>
        <v>76</v>
      </c>
      <c r="I51" s="4"/>
    </row>
    <row r="52" spans="1:9" ht="47.25" outlineLevel="4" x14ac:dyDescent="0.25">
      <c r="A52" s="10" t="s">
        <v>15</v>
      </c>
      <c r="B52" s="6" t="s">
        <v>58</v>
      </c>
      <c r="C52" s="6" t="s">
        <v>16</v>
      </c>
      <c r="D52" s="16" t="s">
        <v>44</v>
      </c>
      <c r="E52" s="16" t="s">
        <v>59</v>
      </c>
      <c r="F52" s="47">
        <v>76</v>
      </c>
      <c r="G52" s="47">
        <v>76</v>
      </c>
      <c r="H52" s="47">
        <v>76</v>
      </c>
      <c r="I52" s="4"/>
    </row>
    <row r="53" spans="1:9" ht="47.25" outlineLevel="4" x14ac:dyDescent="0.25">
      <c r="A53" s="10" t="s">
        <v>658</v>
      </c>
      <c r="B53" s="16" t="s">
        <v>657</v>
      </c>
      <c r="C53" s="16" t="s">
        <v>1</v>
      </c>
      <c r="D53" s="16" t="s">
        <v>2</v>
      </c>
      <c r="E53" s="16" t="s">
        <v>2</v>
      </c>
      <c r="F53" s="47">
        <f>F54</f>
        <v>380</v>
      </c>
      <c r="G53" s="47">
        <f t="shared" ref="G53:H53" si="20">G54</f>
        <v>0</v>
      </c>
      <c r="H53" s="47">
        <f t="shared" si="20"/>
        <v>0</v>
      </c>
      <c r="I53" s="4"/>
    </row>
    <row r="54" spans="1:9" ht="47.25" outlineLevel="4" x14ac:dyDescent="0.25">
      <c r="A54" s="10" t="s">
        <v>15</v>
      </c>
      <c r="B54" s="16" t="s">
        <v>657</v>
      </c>
      <c r="C54" s="16" t="s">
        <v>16</v>
      </c>
      <c r="D54" s="16" t="s">
        <v>44</v>
      </c>
      <c r="E54" s="16" t="s">
        <v>59</v>
      </c>
      <c r="F54" s="47">
        <v>380</v>
      </c>
      <c r="G54" s="47">
        <v>0</v>
      </c>
      <c r="H54" s="47">
        <v>0</v>
      </c>
      <c r="I54" s="4"/>
    </row>
    <row r="55" spans="1:9" s="13" customFormat="1" ht="63" outlineLevel="1" x14ac:dyDescent="0.25">
      <c r="A55" s="28" t="s">
        <v>60</v>
      </c>
      <c r="B55" s="29" t="s">
        <v>61</v>
      </c>
      <c r="C55" s="29" t="s">
        <v>1</v>
      </c>
      <c r="D55" s="30" t="s">
        <v>2</v>
      </c>
      <c r="E55" s="30" t="s">
        <v>2</v>
      </c>
      <c r="F55" s="46">
        <f>F56</f>
        <v>16769.805</v>
      </c>
      <c r="G55" s="46">
        <f t="shared" ref="G55:H55" si="21">G56</f>
        <v>18474.900000000001</v>
      </c>
      <c r="H55" s="46">
        <f t="shared" si="21"/>
        <v>18474.900000000001</v>
      </c>
      <c r="I55" s="12"/>
    </row>
    <row r="56" spans="1:9" ht="63" outlineLevel="2" x14ac:dyDescent="0.25">
      <c r="A56" s="10" t="s">
        <v>62</v>
      </c>
      <c r="B56" s="6" t="s">
        <v>63</v>
      </c>
      <c r="C56" s="6" t="s">
        <v>1</v>
      </c>
      <c r="D56" s="16" t="s">
        <v>2</v>
      </c>
      <c r="E56" s="16" t="s">
        <v>2</v>
      </c>
      <c r="F56" s="47">
        <f>F57+F59+F61+F63</f>
        <v>16769.805</v>
      </c>
      <c r="G56" s="47">
        <f t="shared" ref="G56:H56" si="22">G57+G59+G61+G63</f>
        <v>18474.900000000001</v>
      </c>
      <c r="H56" s="47">
        <f t="shared" si="22"/>
        <v>18474.900000000001</v>
      </c>
      <c r="I56" s="4"/>
    </row>
    <row r="57" spans="1:9" ht="63" outlineLevel="3" x14ac:dyDescent="0.25">
      <c r="A57" s="10" t="s">
        <v>64</v>
      </c>
      <c r="B57" s="6" t="s">
        <v>65</v>
      </c>
      <c r="C57" s="6" t="s">
        <v>1</v>
      </c>
      <c r="D57" s="16" t="s">
        <v>2</v>
      </c>
      <c r="E57" s="16" t="s">
        <v>2</v>
      </c>
      <c r="F57" s="47">
        <f>F58</f>
        <v>4154.759</v>
      </c>
      <c r="G57" s="47">
        <f t="shared" ref="G57:H57" si="23">G58</f>
        <v>5095.1000000000004</v>
      </c>
      <c r="H57" s="47">
        <f t="shared" si="23"/>
        <v>5095.1000000000004</v>
      </c>
      <c r="I57" s="4"/>
    </row>
    <row r="58" spans="1:9" ht="31.5" outlineLevel="4" x14ac:dyDescent="0.25">
      <c r="A58" s="10" t="s">
        <v>66</v>
      </c>
      <c r="B58" s="6" t="s">
        <v>65</v>
      </c>
      <c r="C58" s="6" t="s">
        <v>67</v>
      </c>
      <c r="D58" s="16" t="s">
        <v>68</v>
      </c>
      <c r="E58" s="16" t="s">
        <v>29</v>
      </c>
      <c r="F58" s="47">
        <f>6262.8-287.39-449.01-151.141-2270.5+1050</f>
        <v>4154.759</v>
      </c>
      <c r="G58" s="47">
        <v>5095.1000000000004</v>
      </c>
      <c r="H58" s="47">
        <v>5095.1000000000004</v>
      </c>
      <c r="I58" s="4"/>
    </row>
    <row r="59" spans="1:9" ht="94.5" outlineLevel="3" x14ac:dyDescent="0.25">
      <c r="A59" s="10" t="s">
        <v>69</v>
      </c>
      <c r="B59" s="6" t="s">
        <v>70</v>
      </c>
      <c r="C59" s="6" t="s">
        <v>1</v>
      </c>
      <c r="D59" s="16" t="s">
        <v>2</v>
      </c>
      <c r="E59" s="16" t="s">
        <v>2</v>
      </c>
      <c r="F59" s="47">
        <f>F60</f>
        <v>2036.7460000000001</v>
      </c>
      <c r="G59" s="47">
        <f t="shared" ref="G59:H59" si="24">G60</f>
        <v>2801.5</v>
      </c>
      <c r="H59" s="47">
        <f t="shared" si="24"/>
        <v>2801.5</v>
      </c>
      <c r="I59" s="4"/>
    </row>
    <row r="60" spans="1:9" ht="31.5" outlineLevel="4" x14ac:dyDescent="0.25">
      <c r="A60" s="10" t="s">
        <v>66</v>
      </c>
      <c r="B60" s="6" t="s">
        <v>70</v>
      </c>
      <c r="C60" s="6" t="s">
        <v>67</v>
      </c>
      <c r="D60" s="16" t="s">
        <v>68</v>
      </c>
      <c r="E60" s="16" t="s">
        <v>29</v>
      </c>
      <c r="F60" s="47">
        <f>2801.5-314.754-900+450</f>
        <v>2036.7460000000001</v>
      </c>
      <c r="G60" s="47">
        <v>2801.5</v>
      </c>
      <c r="H60" s="47">
        <v>2801.5</v>
      </c>
      <c r="I60" s="4"/>
    </row>
    <row r="61" spans="1:9" ht="63" outlineLevel="3" x14ac:dyDescent="0.25">
      <c r="A61" s="10" t="s">
        <v>71</v>
      </c>
      <c r="B61" s="6" t="s">
        <v>72</v>
      </c>
      <c r="C61" s="6" t="s">
        <v>1</v>
      </c>
      <c r="D61" s="16" t="s">
        <v>2</v>
      </c>
      <c r="E61" s="16" t="s">
        <v>2</v>
      </c>
      <c r="F61" s="47">
        <f>F62</f>
        <v>10049.299999999999</v>
      </c>
      <c r="G61" s="47">
        <f t="shared" ref="G61:H61" si="25">G62</f>
        <v>10049.299999999999</v>
      </c>
      <c r="H61" s="47">
        <f t="shared" si="25"/>
        <v>10049.299999999999</v>
      </c>
      <c r="I61" s="4"/>
    </row>
    <row r="62" spans="1:9" ht="31.5" outlineLevel="4" x14ac:dyDescent="0.25">
      <c r="A62" s="10" t="s">
        <v>66</v>
      </c>
      <c r="B62" s="6" t="s">
        <v>72</v>
      </c>
      <c r="C62" s="6" t="s">
        <v>67</v>
      </c>
      <c r="D62" s="16" t="s">
        <v>68</v>
      </c>
      <c r="E62" s="16" t="s">
        <v>29</v>
      </c>
      <c r="F62" s="47">
        <v>10049.299999999999</v>
      </c>
      <c r="G62" s="47">
        <v>10049.299999999999</v>
      </c>
      <c r="H62" s="47">
        <v>10049.299999999999</v>
      </c>
      <c r="I62" s="4"/>
    </row>
    <row r="63" spans="1:9" ht="78.75" outlineLevel="3" x14ac:dyDescent="0.25">
      <c r="A63" s="10" t="s">
        <v>73</v>
      </c>
      <c r="B63" s="6" t="s">
        <v>74</v>
      </c>
      <c r="C63" s="6" t="s">
        <v>1</v>
      </c>
      <c r="D63" s="16" t="s">
        <v>2</v>
      </c>
      <c r="E63" s="16" t="s">
        <v>2</v>
      </c>
      <c r="F63" s="47">
        <f>F64</f>
        <v>529</v>
      </c>
      <c r="G63" s="47">
        <f t="shared" ref="G63:H63" si="26">G64</f>
        <v>529</v>
      </c>
      <c r="H63" s="47">
        <f t="shared" si="26"/>
        <v>529</v>
      </c>
      <c r="I63" s="4"/>
    </row>
    <row r="64" spans="1:9" ht="31.5" outlineLevel="4" x14ac:dyDescent="0.25">
      <c r="A64" s="10" t="s">
        <v>66</v>
      </c>
      <c r="B64" s="6" t="s">
        <v>74</v>
      </c>
      <c r="C64" s="6" t="s">
        <v>67</v>
      </c>
      <c r="D64" s="16" t="s">
        <v>68</v>
      </c>
      <c r="E64" s="16" t="s">
        <v>29</v>
      </c>
      <c r="F64" s="47">
        <v>529</v>
      </c>
      <c r="G64" s="47">
        <v>529</v>
      </c>
      <c r="H64" s="47">
        <v>529</v>
      </c>
      <c r="I64" s="4"/>
    </row>
    <row r="65" spans="1:9" s="13" customFormat="1" ht="78.75" outlineLevel="1" x14ac:dyDescent="0.25">
      <c r="A65" s="28" t="s">
        <v>75</v>
      </c>
      <c r="B65" s="29" t="s">
        <v>76</v>
      </c>
      <c r="C65" s="29" t="s">
        <v>1</v>
      </c>
      <c r="D65" s="30" t="s">
        <v>2</v>
      </c>
      <c r="E65" s="30" t="s">
        <v>2</v>
      </c>
      <c r="F65" s="46">
        <f>F66</f>
        <v>216049.06700000001</v>
      </c>
      <c r="G65" s="46">
        <f t="shared" ref="G65:H65" si="27">G66</f>
        <v>67023</v>
      </c>
      <c r="H65" s="46">
        <f t="shared" si="27"/>
        <v>69737.2</v>
      </c>
      <c r="I65" s="12"/>
    </row>
    <row r="66" spans="1:9" ht="63" outlineLevel="2" x14ac:dyDescent="0.25">
      <c r="A66" s="10" t="s">
        <v>77</v>
      </c>
      <c r="B66" s="6" t="s">
        <v>78</v>
      </c>
      <c r="C66" s="6" t="s">
        <v>1</v>
      </c>
      <c r="D66" s="16" t="s">
        <v>2</v>
      </c>
      <c r="E66" s="16" t="s">
        <v>2</v>
      </c>
      <c r="F66" s="47">
        <f>F67+F69+F71+F73</f>
        <v>216049.06700000001</v>
      </c>
      <c r="G66" s="47">
        <f t="shared" ref="G66:H66" si="28">G67+G69</f>
        <v>67023</v>
      </c>
      <c r="H66" s="47">
        <f t="shared" si="28"/>
        <v>69737.2</v>
      </c>
      <c r="I66" s="4"/>
    </row>
    <row r="67" spans="1:9" ht="47.25" outlineLevel="3" x14ac:dyDescent="0.25">
      <c r="A67" s="10" t="s">
        <v>79</v>
      </c>
      <c r="B67" s="6" t="s">
        <v>80</v>
      </c>
      <c r="C67" s="6" t="s">
        <v>1</v>
      </c>
      <c r="D67" s="16" t="s">
        <v>2</v>
      </c>
      <c r="E67" s="16" t="s">
        <v>2</v>
      </c>
      <c r="F67" s="47">
        <f>F68</f>
        <v>79717.453999999998</v>
      </c>
      <c r="G67" s="47">
        <f t="shared" ref="G67:H67" si="29">G68</f>
        <v>66823</v>
      </c>
      <c r="H67" s="47">
        <f t="shared" si="29"/>
        <v>69537.2</v>
      </c>
      <c r="I67" s="4"/>
    </row>
    <row r="68" spans="1:9" ht="63" outlineLevel="4" x14ac:dyDescent="0.25">
      <c r="A68" s="10" t="s">
        <v>27</v>
      </c>
      <c r="B68" s="6" t="s">
        <v>80</v>
      </c>
      <c r="C68" s="6" t="s">
        <v>28</v>
      </c>
      <c r="D68" s="16" t="s">
        <v>44</v>
      </c>
      <c r="E68" s="16" t="s">
        <v>81</v>
      </c>
      <c r="F68" s="47">
        <f>64719.67-14926.2+2063.30158-2063.30158+7328.884+3000+2310.1+2285+15000</f>
        <v>79717.453999999998</v>
      </c>
      <c r="G68" s="47">
        <f>68328.2-1505.2</f>
        <v>66823</v>
      </c>
      <c r="H68" s="47">
        <f>63911.5+5625.7</f>
        <v>69537.2</v>
      </c>
      <c r="I68" s="4"/>
    </row>
    <row r="69" spans="1:9" ht="47.25" outlineLevel="3" x14ac:dyDescent="0.25">
      <c r="A69" s="10" t="s">
        <v>82</v>
      </c>
      <c r="B69" s="6" t="s">
        <v>83</v>
      </c>
      <c r="C69" s="6" t="s">
        <v>1</v>
      </c>
      <c r="D69" s="16" t="s">
        <v>2</v>
      </c>
      <c r="E69" s="16" t="s">
        <v>2</v>
      </c>
      <c r="F69" s="47">
        <f>F70</f>
        <v>200</v>
      </c>
      <c r="G69" s="47">
        <f t="shared" ref="G69:H69" si="30">G70</f>
        <v>200</v>
      </c>
      <c r="H69" s="47">
        <f t="shared" si="30"/>
        <v>200</v>
      </c>
      <c r="I69" s="4"/>
    </row>
    <row r="70" spans="1:9" ht="47.25" outlineLevel="4" x14ac:dyDescent="0.25">
      <c r="A70" s="10" t="s">
        <v>15</v>
      </c>
      <c r="B70" s="6" t="s">
        <v>83</v>
      </c>
      <c r="C70" s="6" t="s">
        <v>16</v>
      </c>
      <c r="D70" s="16" t="s">
        <v>29</v>
      </c>
      <c r="E70" s="16" t="s">
        <v>68</v>
      </c>
      <c r="F70" s="47">
        <v>200</v>
      </c>
      <c r="G70" s="47">
        <v>200</v>
      </c>
      <c r="H70" s="47">
        <v>200</v>
      </c>
      <c r="I70" s="4"/>
    </row>
    <row r="71" spans="1:9" ht="63" outlineLevel="4" x14ac:dyDescent="0.25">
      <c r="A71" s="10" t="s">
        <v>599</v>
      </c>
      <c r="B71" s="16" t="s">
        <v>598</v>
      </c>
      <c r="C71" s="16" t="s">
        <v>1</v>
      </c>
      <c r="D71" s="16" t="s">
        <v>2</v>
      </c>
      <c r="E71" s="16" t="s">
        <v>2</v>
      </c>
      <c r="F71" s="47">
        <f>F72</f>
        <v>118434.5</v>
      </c>
      <c r="G71" s="47">
        <f t="shared" ref="G71:H71" si="31">G72</f>
        <v>0</v>
      </c>
      <c r="H71" s="47">
        <f t="shared" si="31"/>
        <v>0</v>
      </c>
      <c r="I71" s="4"/>
    </row>
    <row r="72" spans="1:9" ht="48.75" customHeight="1" outlineLevel="4" x14ac:dyDescent="0.25">
      <c r="A72" s="10" t="s">
        <v>27</v>
      </c>
      <c r="B72" s="16" t="s">
        <v>598</v>
      </c>
      <c r="C72" s="16" t="s">
        <v>28</v>
      </c>
      <c r="D72" s="16" t="s">
        <v>44</v>
      </c>
      <c r="E72" s="16" t="s">
        <v>81</v>
      </c>
      <c r="F72" s="47">
        <f>99890.7+18543.8</f>
        <v>118434.5</v>
      </c>
      <c r="G72" s="47">
        <v>0</v>
      </c>
      <c r="H72" s="47">
        <v>0</v>
      </c>
      <c r="I72" s="4"/>
    </row>
    <row r="73" spans="1:9" ht="66" customHeight="1" outlineLevel="4" x14ac:dyDescent="0.25">
      <c r="A73" s="10" t="s">
        <v>599</v>
      </c>
      <c r="B73" s="16" t="s">
        <v>600</v>
      </c>
      <c r="C73" s="16" t="s">
        <v>1</v>
      </c>
      <c r="D73" s="16" t="s">
        <v>2</v>
      </c>
      <c r="E73" s="16" t="s">
        <v>2</v>
      </c>
      <c r="F73" s="47">
        <f>F74</f>
        <v>17697.113000000001</v>
      </c>
      <c r="G73" s="47">
        <f t="shared" ref="G73:H73" si="32">G74</f>
        <v>0</v>
      </c>
      <c r="H73" s="47">
        <f t="shared" si="32"/>
        <v>0</v>
      </c>
      <c r="I73" s="4"/>
    </row>
    <row r="74" spans="1:9" ht="47.25" customHeight="1" outlineLevel="4" x14ac:dyDescent="0.25">
      <c r="A74" s="10" t="s">
        <v>27</v>
      </c>
      <c r="B74" s="16" t="s">
        <v>600</v>
      </c>
      <c r="C74" s="16" t="s">
        <v>28</v>
      </c>
      <c r="D74" s="16" t="s">
        <v>44</v>
      </c>
      <c r="E74" s="16" t="s">
        <v>81</v>
      </c>
      <c r="F74" s="47">
        <f>14926.2+707.61142+2063.30158</f>
        <v>17697.113000000001</v>
      </c>
      <c r="G74" s="47">
        <v>0</v>
      </c>
      <c r="H74" s="47">
        <v>0</v>
      </c>
      <c r="I74" s="4"/>
    </row>
    <row r="75" spans="1:9" s="13" customFormat="1" ht="141.75" outlineLevel="1" x14ac:dyDescent="0.25">
      <c r="A75" s="28" t="s">
        <v>84</v>
      </c>
      <c r="B75" s="29" t="s">
        <v>85</v>
      </c>
      <c r="C75" s="29" t="s">
        <v>1</v>
      </c>
      <c r="D75" s="30" t="s">
        <v>2</v>
      </c>
      <c r="E75" s="30" t="s">
        <v>2</v>
      </c>
      <c r="F75" s="46">
        <f>F76</f>
        <v>36456.800000000003</v>
      </c>
      <c r="G75" s="46">
        <f t="shared" ref="G75:H75" si="33">G76</f>
        <v>9299.6</v>
      </c>
      <c r="H75" s="46">
        <f t="shared" si="33"/>
        <v>15134.4</v>
      </c>
      <c r="I75" s="12"/>
    </row>
    <row r="76" spans="1:9" ht="47.25" outlineLevel="2" x14ac:dyDescent="0.25">
      <c r="A76" s="10" t="s">
        <v>86</v>
      </c>
      <c r="B76" s="6" t="s">
        <v>87</v>
      </c>
      <c r="C76" s="6" t="s">
        <v>1</v>
      </c>
      <c r="D76" s="16" t="s">
        <v>2</v>
      </c>
      <c r="E76" s="16" t="s">
        <v>2</v>
      </c>
      <c r="F76" s="47">
        <f>F77+F80</f>
        <v>36456.800000000003</v>
      </c>
      <c r="G76" s="47">
        <f t="shared" ref="G76:H76" si="34">G77+G80</f>
        <v>9299.6</v>
      </c>
      <c r="H76" s="47">
        <f t="shared" si="34"/>
        <v>15134.4</v>
      </c>
      <c r="I76" s="4"/>
    </row>
    <row r="77" spans="1:9" ht="110.25" outlineLevel="3" x14ac:dyDescent="0.25">
      <c r="A77" s="10" t="s">
        <v>88</v>
      </c>
      <c r="B77" s="6" t="s">
        <v>89</v>
      </c>
      <c r="C77" s="6" t="s">
        <v>1</v>
      </c>
      <c r="D77" s="16" t="s">
        <v>2</v>
      </c>
      <c r="E77" s="16" t="s">
        <v>2</v>
      </c>
      <c r="F77" s="47">
        <f>F78+F79</f>
        <v>31532.799999999999</v>
      </c>
      <c r="G77" s="47">
        <f t="shared" ref="G77:H77" si="35">G78+G79</f>
        <v>8090.6</v>
      </c>
      <c r="H77" s="47">
        <f t="shared" si="35"/>
        <v>13166.9</v>
      </c>
      <c r="I77" s="4"/>
    </row>
    <row r="78" spans="1:9" ht="47.25" outlineLevel="4" x14ac:dyDescent="0.25">
      <c r="A78" s="10" t="s">
        <v>51</v>
      </c>
      <c r="B78" s="6" t="s">
        <v>89</v>
      </c>
      <c r="C78" s="6" t="s">
        <v>52</v>
      </c>
      <c r="D78" s="16" t="s">
        <v>44</v>
      </c>
      <c r="E78" s="16" t="s">
        <v>81</v>
      </c>
      <c r="F78" s="47">
        <f>27132.8</f>
        <v>27132.799999999999</v>
      </c>
      <c r="G78" s="47">
        <v>2600</v>
      </c>
      <c r="H78" s="47">
        <v>0</v>
      </c>
      <c r="I78" s="4"/>
    </row>
    <row r="79" spans="1:9" ht="47.25" outlineLevel="6" x14ac:dyDescent="0.25">
      <c r="A79" s="10" t="s">
        <v>51</v>
      </c>
      <c r="B79" s="6" t="s">
        <v>89</v>
      </c>
      <c r="C79" s="6" t="s">
        <v>52</v>
      </c>
      <c r="D79" s="16" t="s">
        <v>14</v>
      </c>
      <c r="E79" s="16" t="s">
        <v>53</v>
      </c>
      <c r="F79" s="47">
        <v>4400</v>
      </c>
      <c r="G79" s="47">
        <v>5490.6</v>
      </c>
      <c r="H79" s="47">
        <v>13166.9</v>
      </c>
      <c r="I79" s="4"/>
    </row>
    <row r="80" spans="1:9" ht="110.25" outlineLevel="3" x14ac:dyDescent="0.25">
      <c r="A80" s="10" t="s">
        <v>88</v>
      </c>
      <c r="B80" s="6" t="s">
        <v>90</v>
      </c>
      <c r="C80" s="6" t="s">
        <v>1</v>
      </c>
      <c r="D80" s="16" t="s">
        <v>2</v>
      </c>
      <c r="E80" s="16" t="s">
        <v>2</v>
      </c>
      <c r="F80" s="47">
        <f>F81+F82</f>
        <v>4924</v>
      </c>
      <c r="G80" s="47">
        <f t="shared" ref="G80:H80" si="36">G81+G82</f>
        <v>1209</v>
      </c>
      <c r="H80" s="47">
        <f t="shared" si="36"/>
        <v>1967.5</v>
      </c>
      <c r="I80" s="4"/>
    </row>
    <row r="81" spans="1:9" ht="47.25" outlineLevel="4" x14ac:dyDescent="0.25">
      <c r="A81" s="10" t="s">
        <v>51</v>
      </c>
      <c r="B81" s="6" t="s">
        <v>90</v>
      </c>
      <c r="C81" s="6" t="s">
        <v>52</v>
      </c>
      <c r="D81" s="16" t="s">
        <v>44</v>
      </c>
      <c r="E81" s="16" t="s">
        <v>81</v>
      </c>
      <c r="F81" s="47">
        <v>4055</v>
      </c>
      <c r="G81" s="47">
        <v>500</v>
      </c>
      <c r="H81" s="47">
        <v>0</v>
      </c>
      <c r="I81" s="4"/>
    </row>
    <row r="82" spans="1:9" ht="47.25" outlineLevel="6" x14ac:dyDescent="0.25">
      <c r="A82" s="10" t="s">
        <v>51</v>
      </c>
      <c r="B82" s="6" t="s">
        <v>90</v>
      </c>
      <c r="C82" s="6" t="s">
        <v>52</v>
      </c>
      <c r="D82" s="16" t="s">
        <v>14</v>
      </c>
      <c r="E82" s="16" t="s">
        <v>53</v>
      </c>
      <c r="F82" s="47">
        <f>100+200+569</f>
        <v>869</v>
      </c>
      <c r="G82" s="47">
        <v>709</v>
      </c>
      <c r="H82" s="47">
        <v>1967.5</v>
      </c>
      <c r="I82" s="4"/>
    </row>
    <row r="83" spans="1:9" s="13" customFormat="1" ht="63" outlineLevel="1" x14ac:dyDescent="0.25">
      <c r="A83" s="28" t="s">
        <v>91</v>
      </c>
      <c r="B83" s="29" t="s">
        <v>92</v>
      </c>
      <c r="C83" s="29" t="s">
        <v>1</v>
      </c>
      <c r="D83" s="30" t="s">
        <v>2</v>
      </c>
      <c r="E83" s="30" t="s">
        <v>2</v>
      </c>
      <c r="F83" s="46">
        <f>F84</f>
        <v>0</v>
      </c>
      <c r="G83" s="46">
        <f t="shared" ref="G83:H83" si="37">G84</f>
        <v>8710.9713599999995</v>
      </c>
      <c r="H83" s="46">
        <f t="shared" si="37"/>
        <v>13500</v>
      </c>
      <c r="I83" s="12"/>
    </row>
    <row r="84" spans="1:9" ht="63" outlineLevel="2" x14ac:dyDescent="0.25">
      <c r="A84" s="10" t="s">
        <v>93</v>
      </c>
      <c r="B84" s="6" t="s">
        <v>94</v>
      </c>
      <c r="C84" s="6" t="s">
        <v>1</v>
      </c>
      <c r="D84" s="16" t="s">
        <v>2</v>
      </c>
      <c r="E84" s="16" t="s">
        <v>2</v>
      </c>
      <c r="F84" s="47">
        <f>F87+F89</f>
        <v>0</v>
      </c>
      <c r="G84" s="47">
        <f>G87+G89+G85</f>
        <v>8710.9713599999995</v>
      </c>
      <c r="H84" s="47">
        <f t="shared" ref="H84" si="38">H87+H89</f>
        <v>13500</v>
      </c>
      <c r="I84" s="4"/>
    </row>
    <row r="85" spans="1:9" ht="63" outlineLevel="2" x14ac:dyDescent="0.25">
      <c r="A85" s="10" t="s">
        <v>651</v>
      </c>
      <c r="B85" s="16" t="s">
        <v>650</v>
      </c>
      <c r="C85" s="6" t="s">
        <v>1</v>
      </c>
      <c r="D85" s="16" t="s">
        <v>2</v>
      </c>
      <c r="E85" s="16" t="s">
        <v>2</v>
      </c>
      <c r="F85" s="47">
        <f>F86</f>
        <v>0</v>
      </c>
      <c r="G85" s="47">
        <f>G86</f>
        <v>8710.9713599999995</v>
      </c>
      <c r="H85" s="47">
        <f>H86</f>
        <v>0</v>
      </c>
      <c r="I85" s="4"/>
    </row>
    <row r="86" spans="1:9" ht="47.25" outlineLevel="2" x14ac:dyDescent="0.25">
      <c r="A86" s="10" t="s">
        <v>51</v>
      </c>
      <c r="B86" s="16" t="s">
        <v>650</v>
      </c>
      <c r="C86" s="6">
        <v>400</v>
      </c>
      <c r="D86" s="16" t="s">
        <v>14</v>
      </c>
      <c r="E86" s="16" t="s">
        <v>53</v>
      </c>
      <c r="F86" s="47">
        <v>0</v>
      </c>
      <c r="G86" s="47">
        <v>8710.9713599999995</v>
      </c>
      <c r="H86" s="47">
        <v>0</v>
      </c>
      <c r="I86" s="4"/>
    </row>
    <row r="87" spans="1:9" ht="47.25" outlineLevel="3" x14ac:dyDescent="0.25">
      <c r="A87" s="10" t="s">
        <v>95</v>
      </c>
      <c r="B87" s="6" t="s">
        <v>96</v>
      </c>
      <c r="C87" s="6" t="s">
        <v>1</v>
      </c>
      <c r="D87" s="16" t="s">
        <v>2</v>
      </c>
      <c r="E87" s="16" t="s">
        <v>2</v>
      </c>
      <c r="F87" s="47">
        <f>F88</f>
        <v>0</v>
      </c>
      <c r="G87" s="47">
        <f t="shared" ref="G87:H87" si="39">G88</f>
        <v>0</v>
      </c>
      <c r="H87" s="47">
        <f t="shared" si="39"/>
        <v>11745</v>
      </c>
      <c r="I87" s="4"/>
    </row>
    <row r="88" spans="1:9" ht="47.25" outlineLevel="4" x14ac:dyDescent="0.25">
      <c r="A88" s="10" t="s">
        <v>15</v>
      </c>
      <c r="B88" s="6" t="s">
        <v>96</v>
      </c>
      <c r="C88" s="6" t="s">
        <v>16</v>
      </c>
      <c r="D88" s="16" t="s">
        <v>14</v>
      </c>
      <c r="E88" s="16" t="s">
        <v>53</v>
      </c>
      <c r="F88" s="47">
        <v>0</v>
      </c>
      <c r="G88" s="47">
        <v>0</v>
      </c>
      <c r="H88" s="47">
        <v>11745</v>
      </c>
      <c r="I88" s="4"/>
    </row>
    <row r="89" spans="1:9" ht="47.25" outlineLevel="3" x14ac:dyDescent="0.25">
      <c r="A89" s="10" t="s">
        <v>95</v>
      </c>
      <c r="B89" s="6" t="s">
        <v>97</v>
      </c>
      <c r="C89" s="6" t="s">
        <v>1</v>
      </c>
      <c r="D89" s="16" t="s">
        <v>2</v>
      </c>
      <c r="E89" s="16" t="s">
        <v>2</v>
      </c>
      <c r="F89" s="47">
        <f>F90</f>
        <v>0</v>
      </c>
      <c r="G89" s="47">
        <f t="shared" ref="G89:H89" si="40">G90</f>
        <v>0</v>
      </c>
      <c r="H89" s="47">
        <f t="shared" si="40"/>
        <v>1755</v>
      </c>
      <c r="I89" s="4"/>
    </row>
    <row r="90" spans="1:9" ht="47.25" outlineLevel="4" x14ac:dyDescent="0.25">
      <c r="A90" s="10" t="s">
        <v>15</v>
      </c>
      <c r="B90" s="6" t="s">
        <v>97</v>
      </c>
      <c r="C90" s="6" t="s">
        <v>16</v>
      </c>
      <c r="D90" s="16" t="s">
        <v>14</v>
      </c>
      <c r="E90" s="16" t="s">
        <v>53</v>
      </c>
      <c r="F90" s="47">
        <v>0</v>
      </c>
      <c r="G90" s="47">
        <v>0</v>
      </c>
      <c r="H90" s="47">
        <v>1755</v>
      </c>
      <c r="I90" s="4"/>
    </row>
    <row r="91" spans="1:9" s="13" customFormat="1" ht="31.5" outlineLevel="1" x14ac:dyDescent="0.25">
      <c r="A91" s="28" t="s">
        <v>98</v>
      </c>
      <c r="B91" s="29" t="s">
        <v>99</v>
      </c>
      <c r="C91" s="29" t="s">
        <v>1</v>
      </c>
      <c r="D91" s="30" t="s">
        <v>2</v>
      </c>
      <c r="E91" s="30" t="s">
        <v>2</v>
      </c>
      <c r="F91" s="46">
        <f>F92+F98+F95</f>
        <v>102.11599999999999</v>
      </c>
      <c r="G91" s="46">
        <f>G92+G98+G95</f>
        <v>249984.1</v>
      </c>
      <c r="H91" s="46">
        <f>H92+H98+H95</f>
        <v>0</v>
      </c>
      <c r="I91" s="12"/>
    </row>
    <row r="92" spans="1:9" ht="63" outlineLevel="2" x14ac:dyDescent="0.25">
      <c r="A92" s="10" t="s">
        <v>47</v>
      </c>
      <c r="B92" s="6" t="s">
        <v>100</v>
      </c>
      <c r="C92" s="6" t="s">
        <v>1</v>
      </c>
      <c r="D92" s="16" t="s">
        <v>2</v>
      </c>
      <c r="E92" s="16" t="s">
        <v>2</v>
      </c>
      <c r="F92" s="47">
        <f>F93</f>
        <v>102.11599999999999</v>
      </c>
      <c r="G92" s="47">
        <f t="shared" ref="G92:H93" si="41">G93</f>
        <v>0</v>
      </c>
      <c r="H92" s="47">
        <f t="shared" si="41"/>
        <v>0</v>
      </c>
      <c r="I92" s="4"/>
    </row>
    <row r="93" spans="1:9" ht="47.25" outlineLevel="3" x14ac:dyDescent="0.25">
      <c r="A93" s="10" t="s">
        <v>101</v>
      </c>
      <c r="B93" s="6" t="s">
        <v>102</v>
      </c>
      <c r="C93" s="6" t="s">
        <v>1</v>
      </c>
      <c r="D93" s="16" t="s">
        <v>2</v>
      </c>
      <c r="E93" s="16" t="s">
        <v>2</v>
      </c>
      <c r="F93" s="47">
        <f>F94</f>
        <v>102.11599999999999</v>
      </c>
      <c r="G93" s="47">
        <f t="shared" si="41"/>
        <v>0</v>
      </c>
      <c r="H93" s="47">
        <f t="shared" si="41"/>
        <v>0</v>
      </c>
      <c r="I93" s="4"/>
    </row>
    <row r="94" spans="1:9" ht="47.25" outlineLevel="4" x14ac:dyDescent="0.25">
      <c r="A94" s="10" t="s">
        <v>51</v>
      </c>
      <c r="B94" s="6" t="s">
        <v>102</v>
      </c>
      <c r="C94" s="6" t="s">
        <v>52</v>
      </c>
      <c r="D94" s="16" t="s">
        <v>14</v>
      </c>
      <c r="E94" s="16" t="s">
        <v>53</v>
      </c>
      <c r="F94" s="47">
        <f>10000-7897.884-2000</f>
        <v>102.11599999999999</v>
      </c>
      <c r="G94" s="47">
        <v>0</v>
      </c>
      <c r="H94" s="47">
        <v>0</v>
      </c>
      <c r="I94" s="4"/>
    </row>
    <row r="95" spans="1:9" ht="63" outlineLevel="4" x14ac:dyDescent="0.25">
      <c r="A95" s="10" t="s">
        <v>604</v>
      </c>
      <c r="B95" s="6" t="s">
        <v>607</v>
      </c>
      <c r="C95" s="6" t="s">
        <v>1</v>
      </c>
      <c r="D95" s="16" t="s">
        <v>2</v>
      </c>
      <c r="E95" s="16" t="s">
        <v>2</v>
      </c>
      <c r="F95" s="47">
        <f>F96</f>
        <v>0</v>
      </c>
      <c r="G95" s="47">
        <f t="shared" ref="G95:H96" si="42">G96</f>
        <v>249984.1</v>
      </c>
      <c r="H95" s="47">
        <f t="shared" si="42"/>
        <v>0</v>
      </c>
      <c r="I95" s="4"/>
    </row>
    <row r="96" spans="1:9" ht="47.25" outlineLevel="4" x14ac:dyDescent="0.25">
      <c r="A96" s="10" t="s">
        <v>605</v>
      </c>
      <c r="B96" s="6" t="s">
        <v>608</v>
      </c>
      <c r="C96" s="6" t="s">
        <v>1</v>
      </c>
      <c r="D96" s="16" t="s">
        <v>2</v>
      </c>
      <c r="E96" s="16" t="s">
        <v>2</v>
      </c>
      <c r="F96" s="47">
        <f>F97</f>
        <v>0</v>
      </c>
      <c r="G96" s="47">
        <f t="shared" si="42"/>
        <v>249984.1</v>
      </c>
      <c r="H96" s="47">
        <f t="shared" si="42"/>
        <v>0</v>
      </c>
      <c r="I96" s="4"/>
    </row>
    <row r="97" spans="1:9" ht="47.25" outlineLevel="4" x14ac:dyDescent="0.25">
      <c r="A97" s="10" t="s">
        <v>606</v>
      </c>
      <c r="B97" s="6" t="s">
        <v>608</v>
      </c>
      <c r="C97" s="6" t="s">
        <v>52</v>
      </c>
      <c r="D97" s="16" t="s">
        <v>14</v>
      </c>
      <c r="E97" s="16" t="s">
        <v>53</v>
      </c>
      <c r="F97" s="47">
        <v>0</v>
      </c>
      <c r="G97" s="47">
        <f>239150.1+10834</f>
        <v>249984.1</v>
      </c>
      <c r="H97" s="47">
        <v>0</v>
      </c>
      <c r="I97" s="4"/>
    </row>
    <row r="98" spans="1:9" ht="47.25" hidden="1" outlineLevel="2" x14ac:dyDescent="0.25">
      <c r="A98" s="10" t="s">
        <v>103</v>
      </c>
      <c r="B98" s="6" t="s">
        <v>104</v>
      </c>
      <c r="C98" s="6" t="s">
        <v>1</v>
      </c>
      <c r="D98" s="16" t="s">
        <v>2</v>
      </c>
      <c r="E98" s="16" t="s">
        <v>2</v>
      </c>
      <c r="F98" s="47">
        <f>F99</f>
        <v>0</v>
      </c>
      <c r="G98" s="47">
        <f t="shared" ref="G98:H99" si="43">G99</f>
        <v>0</v>
      </c>
      <c r="H98" s="47">
        <f t="shared" si="43"/>
        <v>0</v>
      </c>
      <c r="I98" s="4"/>
    </row>
    <row r="99" spans="1:9" ht="47.25" hidden="1" outlineLevel="3" x14ac:dyDescent="0.25">
      <c r="A99" s="10" t="s">
        <v>105</v>
      </c>
      <c r="B99" s="6" t="s">
        <v>106</v>
      </c>
      <c r="C99" s="6" t="s">
        <v>1</v>
      </c>
      <c r="D99" s="16" t="s">
        <v>2</v>
      </c>
      <c r="E99" s="16" t="s">
        <v>2</v>
      </c>
      <c r="F99" s="47">
        <f>F100</f>
        <v>0</v>
      </c>
      <c r="G99" s="47">
        <f t="shared" si="43"/>
        <v>0</v>
      </c>
      <c r="H99" s="47">
        <f t="shared" si="43"/>
        <v>0</v>
      </c>
      <c r="I99" s="4"/>
    </row>
    <row r="100" spans="1:9" ht="47.25" hidden="1" outlineLevel="4" x14ac:dyDescent="0.25">
      <c r="A100" s="10" t="s">
        <v>51</v>
      </c>
      <c r="B100" s="6" t="s">
        <v>106</v>
      </c>
      <c r="C100" s="6" t="s">
        <v>52</v>
      </c>
      <c r="D100" s="16" t="s">
        <v>14</v>
      </c>
      <c r="E100" s="16" t="s">
        <v>53</v>
      </c>
      <c r="F100" s="47">
        <f>55831.5-53598.2-169.99842-2063.30158</f>
        <v>0</v>
      </c>
      <c r="G100" s="47">
        <f>249984.1-239150.1-10834</f>
        <v>0</v>
      </c>
      <c r="H100" s="47">
        <v>0</v>
      </c>
      <c r="I100" s="4"/>
    </row>
    <row r="101" spans="1:9" s="7" customFormat="1" ht="78.75" collapsed="1" x14ac:dyDescent="0.25">
      <c r="A101" s="31" t="s">
        <v>107</v>
      </c>
      <c r="B101" s="32" t="s">
        <v>108</v>
      </c>
      <c r="C101" s="32" t="s">
        <v>1</v>
      </c>
      <c r="D101" s="33" t="s">
        <v>2</v>
      </c>
      <c r="E101" s="33" t="s">
        <v>2</v>
      </c>
      <c r="F101" s="48">
        <f>F102+F106</f>
        <v>426</v>
      </c>
      <c r="G101" s="48">
        <f t="shared" ref="G101:H101" si="44">G102+G106</f>
        <v>476</v>
      </c>
      <c r="H101" s="48">
        <f t="shared" si="44"/>
        <v>426</v>
      </c>
      <c r="I101" s="8"/>
    </row>
    <row r="102" spans="1:9" ht="78.75" outlineLevel="2" x14ac:dyDescent="0.25">
      <c r="A102" s="10" t="s">
        <v>109</v>
      </c>
      <c r="B102" s="6" t="s">
        <v>110</v>
      </c>
      <c r="C102" s="6" t="s">
        <v>1</v>
      </c>
      <c r="D102" s="16" t="s">
        <v>2</v>
      </c>
      <c r="E102" s="16" t="s">
        <v>2</v>
      </c>
      <c r="F102" s="47">
        <f>F103</f>
        <v>13</v>
      </c>
      <c r="G102" s="47">
        <f t="shared" ref="G102:H102" si="45">G103</f>
        <v>13</v>
      </c>
      <c r="H102" s="47">
        <f t="shared" si="45"/>
        <v>13</v>
      </c>
      <c r="I102" s="4"/>
    </row>
    <row r="103" spans="1:9" ht="63" outlineLevel="3" x14ac:dyDescent="0.25">
      <c r="A103" s="10" t="s">
        <v>111</v>
      </c>
      <c r="B103" s="6" t="s">
        <v>112</v>
      </c>
      <c r="C103" s="6" t="s">
        <v>1</v>
      </c>
      <c r="D103" s="16" t="s">
        <v>2</v>
      </c>
      <c r="E103" s="16" t="s">
        <v>2</v>
      </c>
      <c r="F103" s="47">
        <f>F104+F105</f>
        <v>13</v>
      </c>
      <c r="G103" s="47">
        <f t="shared" ref="G103:H103" si="46">G104+G105</f>
        <v>13</v>
      </c>
      <c r="H103" s="47">
        <f t="shared" si="46"/>
        <v>13</v>
      </c>
      <c r="I103" s="4"/>
    </row>
    <row r="104" spans="1:9" ht="47.25" outlineLevel="4" x14ac:dyDescent="0.25">
      <c r="A104" s="10" t="s">
        <v>15</v>
      </c>
      <c r="B104" s="6" t="s">
        <v>112</v>
      </c>
      <c r="C104" s="6" t="s">
        <v>16</v>
      </c>
      <c r="D104" s="16" t="s">
        <v>113</v>
      </c>
      <c r="E104" s="16" t="s">
        <v>113</v>
      </c>
      <c r="F104" s="47">
        <v>3</v>
      </c>
      <c r="G104" s="47">
        <v>3</v>
      </c>
      <c r="H104" s="47">
        <v>3</v>
      </c>
      <c r="I104" s="4"/>
    </row>
    <row r="105" spans="1:9" ht="63" outlineLevel="4" x14ac:dyDescent="0.25">
      <c r="A105" s="10" t="s">
        <v>27</v>
      </c>
      <c r="B105" s="6" t="s">
        <v>112</v>
      </c>
      <c r="C105" s="6" t="s">
        <v>28</v>
      </c>
      <c r="D105" s="16" t="s">
        <v>113</v>
      </c>
      <c r="E105" s="16" t="s">
        <v>29</v>
      </c>
      <c r="F105" s="47">
        <v>10</v>
      </c>
      <c r="G105" s="47">
        <v>10</v>
      </c>
      <c r="H105" s="47">
        <v>10</v>
      </c>
      <c r="I105" s="4"/>
    </row>
    <row r="106" spans="1:9" ht="63" outlineLevel="2" x14ac:dyDescent="0.25">
      <c r="A106" s="10" t="s">
        <v>114</v>
      </c>
      <c r="B106" s="6" t="s">
        <v>115</v>
      </c>
      <c r="C106" s="6" t="s">
        <v>1</v>
      </c>
      <c r="D106" s="16" t="s">
        <v>2</v>
      </c>
      <c r="E106" s="16" t="s">
        <v>2</v>
      </c>
      <c r="F106" s="47">
        <f>F107</f>
        <v>413</v>
      </c>
      <c r="G106" s="47">
        <f t="shared" ref="G106:H106" si="47">G107</f>
        <v>463</v>
      </c>
      <c r="H106" s="47">
        <f t="shared" si="47"/>
        <v>413</v>
      </c>
      <c r="I106" s="4"/>
    </row>
    <row r="107" spans="1:9" ht="31.5" outlineLevel="3" x14ac:dyDescent="0.25">
      <c r="A107" s="10" t="s">
        <v>116</v>
      </c>
      <c r="B107" s="6" t="s">
        <v>117</v>
      </c>
      <c r="C107" s="6" t="s">
        <v>1</v>
      </c>
      <c r="D107" s="16" t="s">
        <v>2</v>
      </c>
      <c r="E107" s="16" t="s">
        <v>2</v>
      </c>
      <c r="F107" s="47">
        <f>F108+F109</f>
        <v>413</v>
      </c>
      <c r="G107" s="47">
        <f t="shared" ref="G107:H107" si="48">G108+G109</f>
        <v>463</v>
      </c>
      <c r="H107" s="47">
        <f t="shared" si="48"/>
        <v>413</v>
      </c>
      <c r="I107" s="4"/>
    </row>
    <row r="108" spans="1:9" ht="63" outlineLevel="6" x14ac:dyDescent="0.25">
      <c r="A108" s="10" t="s">
        <v>27</v>
      </c>
      <c r="B108" s="6" t="s">
        <v>117</v>
      </c>
      <c r="C108" s="6" t="s">
        <v>28</v>
      </c>
      <c r="D108" s="16" t="s">
        <v>113</v>
      </c>
      <c r="E108" s="16" t="s">
        <v>29</v>
      </c>
      <c r="F108" s="47">
        <v>263</v>
      </c>
      <c r="G108" s="47">
        <v>263</v>
      </c>
      <c r="H108" s="47">
        <v>263</v>
      </c>
      <c r="I108" s="4"/>
    </row>
    <row r="109" spans="1:9" ht="63" outlineLevel="6" x14ac:dyDescent="0.25">
      <c r="A109" s="10" t="s">
        <v>27</v>
      </c>
      <c r="B109" s="6" t="s">
        <v>117</v>
      </c>
      <c r="C109" s="6" t="s">
        <v>28</v>
      </c>
      <c r="D109" s="16" t="s">
        <v>118</v>
      </c>
      <c r="E109" s="16" t="s">
        <v>12</v>
      </c>
      <c r="F109" s="47">
        <v>150</v>
      </c>
      <c r="G109" s="47">
        <v>200</v>
      </c>
      <c r="H109" s="47">
        <v>150</v>
      </c>
      <c r="I109" s="4"/>
    </row>
    <row r="110" spans="1:9" s="7" customFormat="1" ht="47.25" x14ac:dyDescent="0.25">
      <c r="A110" s="31" t="s">
        <v>119</v>
      </c>
      <c r="B110" s="32" t="s">
        <v>120</v>
      </c>
      <c r="C110" s="32" t="s">
        <v>1</v>
      </c>
      <c r="D110" s="33" t="s">
        <v>2</v>
      </c>
      <c r="E110" s="33" t="s">
        <v>2</v>
      </c>
      <c r="F110" s="48">
        <f>F111+F120+F131+F139+F150+F153</f>
        <v>393144.04000000004</v>
      </c>
      <c r="G110" s="48">
        <f t="shared" ref="G110:H110" si="49">G111+G120+G131+G139+G150+G153</f>
        <v>210344.8</v>
      </c>
      <c r="H110" s="48">
        <f t="shared" si="49"/>
        <v>132013.69999999998</v>
      </c>
      <c r="I110" s="8"/>
    </row>
    <row r="111" spans="1:9" ht="47.25" outlineLevel="2" x14ac:dyDescent="0.25">
      <c r="A111" s="10" t="s">
        <v>6</v>
      </c>
      <c r="B111" s="6" t="s">
        <v>121</v>
      </c>
      <c r="C111" s="6" t="s">
        <v>1</v>
      </c>
      <c r="D111" s="16" t="s">
        <v>2</v>
      </c>
      <c r="E111" s="16" t="s">
        <v>2</v>
      </c>
      <c r="F111" s="47">
        <f>F112+F115+F117</f>
        <v>5467.2000000000007</v>
      </c>
      <c r="G111" s="47">
        <f t="shared" ref="G111:H111" si="50">G112+G115+G117</f>
        <v>5467.2000000000007</v>
      </c>
      <c r="H111" s="47">
        <f t="shared" si="50"/>
        <v>5467.2000000000007</v>
      </c>
      <c r="I111" s="4"/>
    </row>
    <row r="112" spans="1:9" ht="47.25" outlineLevel="3" x14ac:dyDescent="0.25">
      <c r="A112" s="10" t="s">
        <v>8</v>
      </c>
      <c r="B112" s="6" t="s">
        <v>122</v>
      </c>
      <c r="C112" s="6" t="s">
        <v>1</v>
      </c>
      <c r="D112" s="16" t="s">
        <v>2</v>
      </c>
      <c r="E112" s="16" t="s">
        <v>2</v>
      </c>
      <c r="F112" s="47">
        <f>F113+F114</f>
        <v>2704.3</v>
      </c>
      <c r="G112" s="47">
        <f t="shared" ref="G112:H112" si="51">G113+G114</f>
        <v>2704.3</v>
      </c>
      <c r="H112" s="47">
        <f t="shared" si="51"/>
        <v>2704.3</v>
      </c>
      <c r="I112" s="4"/>
    </row>
    <row r="113" spans="1:9" ht="110.25" outlineLevel="4" x14ac:dyDescent="0.25">
      <c r="A113" s="10" t="s">
        <v>10</v>
      </c>
      <c r="B113" s="6" t="s">
        <v>122</v>
      </c>
      <c r="C113" s="6" t="s">
        <v>11</v>
      </c>
      <c r="D113" s="16" t="s">
        <v>123</v>
      </c>
      <c r="E113" s="16" t="s">
        <v>14</v>
      </c>
      <c r="F113" s="47">
        <v>2621.3000000000002</v>
      </c>
      <c r="G113" s="47">
        <v>2621.3000000000002</v>
      </c>
      <c r="H113" s="47">
        <v>2621.3000000000002</v>
      </c>
      <c r="I113" s="4"/>
    </row>
    <row r="114" spans="1:9" ht="47.25" outlineLevel="4" x14ac:dyDescent="0.25">
      <c r="A114" s="10" t="s">
        <v>15</v>
      </c>
      <c r="B114" s="6" t="s">
        <v>122</v>
      </c>
      <c r="C114" s="6" t="s">
        <v>16</v>
      </c>
      <c r="D114" s="16" t="s">
        <v>123</v>
      </c>
      <c r="E114" s="16" t="s">
        <v>14</v>
      </c>
      <c r="F114" s="47">
        <v>83</v>
      </c>
      <c r="G114" s="47">
        <v>83</v>
      </c>
      <c r="H114" s="47">
        <v>83</v>
      </c>
      <c r="I114" s="4"/>
    </row>
    <row r="115" spans="1:9" ht="47.25" outlineLevel="3" x14ac:dyDescent="0.25">
      <c r="A115" s="10" t="s">
        <v>124</v>
      </c>
      <c r="B115" s="6" t="s">
        <v>125</v>
      </c>
      <c r="C115" s="6" t="s">
        <v>1</v>
      </c>
      <c r="D115" s="16" t="s">
        <v>2</v>
      </c>
      <c r="E115" s="16" t="s">
        <v>2</v>
      </c>
      <c r="F115" s="47">
        <f>F116</f>
        <v>6</v>
      </c>
      <c r="G115" s="47">
        <f t="shared" ref="G115:H115" si="52">G116</f>
        <v>6</v>
      </c>
      <c r="H115" s="47">
        <f t="shared" si="52"/>
        <v>6</v>
      </c>
      <c r="I115" s="4"/>
    </row>
    <row r="116" spans="1:9" ht="31.5" outlineLevel="4" x14ac:dyDescent="0.25">
      <c r="A116" s="10" t="s">
        <v>66</v>
      </c>
      <c r="B116" s="6" t="s">
        <v>125</v>
      </c>
      <c r="C116" s="6" t="s">
        <v>67</v>
      </c>
      <c r="D116" s="16" t="s">
        <v>68</v>
      </c>
      <c r="E116" s="16" t="s">
        <v>29</v>
      </c>
      <c r="F116" s="47">
        <v>6</v>
      </c>
      <c r="G116" s="47">
        <v>6</v>
      </c>
      <c r="H116" s="47">
        <v>6</v>
      </c>
      <c r="I116" s="4"/>
    </row>
    <row r="117" spans="1:9" ht="47.25" outlineLevel="3" x14ac:dyDescent="0.25">
      <c r="A117" s="10" t="s">
        <v>21</v>
      </c>
      <c r="B117" s="6" t="s">
        <v>126</v>
      </c>
      <c r="C117" s="6" t="s">
        <v>1</v>
      </c>
      <c r="D117" s="16" t="s">
        <v>2</v>
      </c>
      <c r="E117" s="16" t="s">
        <v>2</v>
      </c>
      <c r="F117" s="47">
        <f>F118+F119</f>
        <v>2756.9</v>
      </c>
      <c r="G117" s="47">
        <f t="shared" ref="G117:H117" si="53">G118+G119</f>
        <v>2756.9</v>
      </c>
      <c r="H117" s="47">
        <f t="shared" si="53"/>
        <v>2756.9</v>
      </c>
      <c r="I117" s="4"/>
    </row>
    <row r="118" spans="1:9" ht="110.25" outlineLevel="4" x14ac:dyDescent="0.25">
      <c r="A118" s="10" t="s">
        <v>10</v>
      </c>
      <c r="B118" s="6" t="s">
        <v>126</v>
      </c>
      <c r="C118" s="6" t="s">
        <v>11</v>
      </c>
      <c r="D118" s="16" t="s">
        <v>123</v>
      </c>
      <c r="E118" s="16" t="s">
        <v>14</v>
      </c>
      <c r="F118" s="47">
        <v>2519.1</v>
      </c>
      <c r="G118" s="47">
        <v>2519.1</v>
      </c>
      <c r="H118" s="47">
        <v>2519.1</v>
      </c>
      <c r="I118" s="4"/>
    </row>
    <row r="119" spans="1:9" ht="47.25" outlineLevel="4" x14ac:dyDescent="0.25">
      <c r="A119" s="10" t="s">
        <v>15</v>
      </c>
      <c r="B119" s="6" t="s">
        <v>126</v>
      </c>
      <c r="C119" s="6" t="s">
        <v>16</v>
      </c>
      <c r="D119" s="16" t="s">
        <v>123</v>
      </c>
      <c r="E119" s="16" t="s">
        <v>14</v>
      </c>
      <c r="F119" s="47">
        <v>237.8</v>
      </c>
      <c r="G119" s="47">
        <v>237.8</v>
      </c>
      <c r="H119" s="47">
        <v>237.8</v>
      </c>
      <c r="I119" s="4"/>
    </row>
    <row r="120" spans="1:9" ht="47.25" outlineLevel="2" x14ac:dyDescent="0.25">
      <c r="A120" s="10" t="s">
        <v>127</v>
      </c>
      <c r="B120" s="6" t="s">
        <v>128</v>
      </c>
      <c r="C120" s="6" t="s">
        <v>1</v>
      </c>
      <c r="D120" s="16" t="s">
        <v>2</v>
      </c>
      <c r="E120" s="16" t="s">
        <v>2</v>
      </c>
      <c r="F120" s="47">
        <f>F121+F125+F129+F123+F127</f>
        <v>114500.849</v>
      </c>
      <c r="G120" s="47">
        <f t="shared" ref="G120:H120" si="54">G121+G125+G129</f>
        <v>104653.8</v>
      </c>
      <c r="H120" s="47">
        <f t="shared" si="54"/>
        <v>104622.7</v>
      </c>
      <c r="I120" s="4"/>
    </row>
    <row r="121" spans="1:9" ht="78.75" outlineLevel="3" x14ac:dyDescent="0.25">
      <c r="A121" s="10" t="s">
        <v>129</v>
      </c>
      <c r="B121" s="6" t="s">
        <v>130</v>
      </c>
      <c r="C121" s="6" t="s">
        <v>1</v>
      </c>
      <c r="D121" s="16" t="s">
        <v>2</v>
      </c>
      <c r="E121" s="16" t="s">
        <v>2</v>
      </c>
      <c r="F121" s="47">
        <f>F122</f>
        <v>25000</v>
      </c>
      <c r="G121" s="47">
        <f t="shared" ref="G121:H121" si="55">G122</f>
        <v>0</v>
      </c>
      <c r="H121" s="47">
        <f t="shared" si="55"/>
        <v>0</v>
      </c>
      <c r="I121" s="4"/>
    </row>
    <row r="122" spans="1:9" ht="49.5" customHeight="1" outlineLevel="4" x14ac:dyDescent="0.25">
      <c r="A122" s="10" t="s">
        <v>27</v>
      </c>
      <c r="B122" s="6" t="s">
        <v>130</v>
      </c>
      <c r="C122" s="6" t="s">
        <v>28</v>
      </c>
      <c r="D122" s="16" t="s">
        <v>123</v>
      </c>
      <c r="E122" s="16" t="s">
        <v>12</v>
      </c>
      <c r="F122" s="47">
        <v>25000</v>
      </c>
      <c r="G122" s="47">
        <v>0</v>
      </c>
      <c r="H122" s="47">
        <v>0</v>
      </c>
      <c r="I122" s="4"/>
    </row>
    <row r="123" spans="1:9" ht="31.5" outlineLevel="4" x14ac:dyDescent="0.25">
      <c r="A123" s="10" t="s">
        <v>661</v>
      </c>
      <c r="B123" s="16" t="s">
        <v>660</v>
      </c>
      <c r="C123" s="16" t="s">
        <v>1</v>
      </c>
      <c r="D123" s="16" t="s">
        <v>2</v>
      </c>
      <c r="E123" s="16" t="s">
        <v>2</v>
      </c>
      <c r="F123" s="47">
        <f>F124</f>
        <v>5176.5</v>
      </c>
      <c r="G123" s="47">
        <f t="shared" ref="G123:H123" si="56">G124</f>
        <v>0</v>
      </c>
      <c r="H123" s="47">
        <f t="shared" si="56"/>
        <v>0</v>
      </c>
      <c r="I123" s="4"/>
    </row>
    <row r="124" spans="1:9" ht="49.5" customHeight="1" outlineLevel="4" x14ac:dyDescent="0.25">
      <c r="A124" s="10" t="s">
        <v>27</v>
      </c>
      <c r="B124" s="16" t="s">
        <v>660</v>
      </c>
      <c r="C124" s="16" t="s">
        <v>28</v>
      </c>
      <c r="D124" s="16" t="s">
        <v>123</v>
      </c>
      <c r="E124" s="16" t="s">
        <v>29</v>
      </c>
      <c r="F124" s="47">
        <v>5176.5</v>
      </c>
      <c r="G124" s="47">
        <v>0</v>
      </c>
      <c r="H124" s="47">
        <v>0</v>
      </c>
      <c r="I124" s="4"/>
    </row>
    <row r="125" spans="1:9" ht="78.75" outlineLevel="3" x14ac:dyDescent="0.25">
      <c r="A125" s="10" t="s">
        <v>131</v>
      </c>
      <c r="B125" s="6" t="s">
        <v>132</v>
      </c>
      <c r="C125" s="6" t="s">
        <v>1</v>
      </c>
      <c r="D125" s="16" t="s">
        <v>2</v>
      </c>
      <c r="E125" s="16" t="s">
        <v>2</v>
      </c>
      <c r="F125" s="47">
        <f>F126</f>
        <v>3735.64</v>
      </c>
      <c r="G125" s="47">
        <f t="shared" ref="G125:H125" si="57">G126</f>
        <v>0</v>
      </c>
      <c r="H125" s="47">
        <f t="shared" si="57"/>
        <v>0</v>
      </c>
      <c r="I125" s="4"/>
    </row>
    <row r="126" spans="1:9" ht="63" outlineLevel="4" x14ac:dyDescent="0.25">
      <c r="A126" s="10" t="s">
        <v>27</v>
      </c>
      <c r="B126" s="6" t="s">
        <v>132</v>
      </c>
      <c r="C126" s="6" t="s">
        <v>28</v>
      </c>
      <c r="D126" s="16" t="s">
        <v>123</v>
      </c>
      <c r="E126" s="16" t="s">
        <v>12</v>
      </c>
      <c r="F126" s="47">
        <v>3735.64</v>
      </c>
      <c r="G126" s="47">
        <v>0</v>
      </c>
      <c r="H126" s="47">
        <v>0</v>
      </c>
      <c r="I126" s="4"/>
    </row>
    <row r="127" spans="1:9" ht="31.5" outlineLevel="4" x14ac:dyDescent="0.25">
      <c r="A127" s="10" t="s">
        <v>661</v>
      </c>
      <c r="B127" s="16" t="s">
        <v>666</v>
      </c>
      <c r="C127" s="16" t="s">
        <v>1</v>
      </c>
      <c r="D127" s="16" t="s">
        <v>2</v>
      </c>
      <c r="E127" s="16" t="s">
        <v>2</v>
      </c>
      <c r="F127" s="47">
        <f>F128</f>
        <v>773.5</v>
      </c>
      <c r="G127" s="47">
        <f t="shared" ref="G127:H127" si="58">G128</f>
        <v>0</v>
      </c>
      <c r="H127" s="47">
        <f t="shared" si="58"/>
        <v>0</v>
      </c>
      <c r="I127" s="4"/>
    </row>
    <row r="128" spans="1:9" ht="48.75" customHeight="1" outlineLevel="4" x14ac:dyDescent="0.25">
      <c r="A128" s="10" t="s">
        <v>27</v>
      </c>
      <c r="B128" s="16" t="s">
        <v>666</v>
      </c>
      <c r="C128" s="16" t="s">
        <v>28</v>
      </c>
      <c r="D128" s="16" t="s">
        <v>123</v>
      </c>
      <c r="E128" s="16" t="s">
        <v>29</v>
      </c>
      <c r="F128" s="47">
        <v>773.5</v>
      </c>
      <c r="G128" s="47">
        <v>0</v>
      </c>
      <c r="H128" s="47">
        <v>0</v>
      </c>
      <c r="I128" s="4"/>
    </row>
    <row r="129" spans="1:9" ht="47.25" outlineLevel="3" x14ac:dyDescent="0.25">
      <c r="A129" s="10" t="s">
        <v>133</v>
      </c>
      <c r="B129" s="6" t="s">
        <v>134</v>
      </c>
      <c r="C129" s="6" t="s">
        <v>1</v>
      </c>
      <c r="D129" s="16" t="s">
        <v>2</v>
      </c>
      <c r="E129" s="16" t="s">
        <v>2</v>
      </c>
      <c r="F129" s="47">
        <f>F130</f>
        <v>79815.209000000003</v>
      </c>
      <c r="G129" s="47">
        <f t="shared" ref="G129:H129" si="59">G130</f>
        <v>104653.8</v>
      </c>
      <c r="H129" s="47">
        <f t="shared" si="59"/>
        <v>104622.7</v>
      </c>
      <c r="I129" s="4"/>
    </row>
    <row r="130" spans="1:9" ht="63" outlineLevel="4" x14ac:dyDescent="0.25">
      <c r="A130" s="10" t="s">
        <v>27</v>
      </c>
      <c r="B130" s="6" t="s">
        <v>134</v>
      </c>
      <c r="C130" s="6" t="s">
        <v>28</v>
      </c>
      <c r="D130" s="16" t="s">
        <v>123</v>
      </c>
      <c r="E130" s="16" t="s">
        <v>12</v>
      </c>
      <c r="F130" s="47">
        <f>59652.21+162.999+20000</f>
        <v>79815.209000000003</v>
      </c>
      <c r="G130" s="47">
        <v>104653.8</v>
      </c>
      <c r="H130" s="47">
        <v>104622.7</v>
      </c>
      <c r="I130" s="4"/>
    </row>
    <row r="131" spans="1:9" ht="99.75" customHeight="1" outlineLevel="4" x14ac:dyDescent="0.25">
      <c r="A131" s="10" t="s">
        <v>595</v>
      </c>
      <c r="B131" s="16" t="s">
        <v>594</v>
      </c>
      <c r="C131" s="6" t="s">
        <v>1</v>
      </c>
      <c r="D131" s="16" t="s">
        <v>2</v>
      </c>
      <c r="E131" s="16" t="s">
        <v>2</v>
      </c>
      <c r="F131" s="47">
        <f>F132+F134+F136</f>
        <v>1397.001</v>
      </c>
      <c r="G131" s="47">
        <f t="shared" ref="G131:H131" si="60">G132+G134+G136</f>
        <v>1560</v>
      </c>
      <c r="H131" s="47">
        <f t="shared" si="60"/>
        <v>1560</v>
      </c>
      <c r="I131" s="4"/>
    </row>
    <row r="132" spans="1:9" ht="47.25" outlineLevel="3" x14ac:dyDescent="0.25">
      <c r="A132" s="10" t="s">
        <v>135</v>
      </c>
      <c r="B132" s="6" t="s">
        <v>136</v>
      </c>
      <c r="C132" s="6" t="s">
        <v>1</v>
      </c>
      <c r="D132" s="16" t="s">
        <v>2</v>
      </c>
      <c r="E132" s="16" t="s">
        <v>2</v>
      </c>
      <c r="F132" s="47">
        <f>F133</f>
        <v>20</v>
      </c>
      <c r="G132" s="47">
        <f t="shared" ref="G132:H132" si="61">G133</f>
        <v>20</v>
      </c>
      <c r="H132" s="47">
        <f t="shared" si="61"/>
        <v>20</v>
      </c>
      <c r="I132" s="4"/>
    </row>
    <row r="133" spans="1:9" ht="63" outlineLevel="4" x14ac:dyDescent="0.25">
      <c r="A133" s="10" t="s">
        <v>27</v>
      </c>
      <c r="B133" s="6" t="s">
        <v>136</v>
      </c>
      <c r="C133" s="6" t="s">
        <v>28</v>
      </c>
      <c r="D133" s="16" t="s">
        <v>123</v>
      </c>
      <c r="E133" s="16" t="s">
        <v>12</v>
      </c>
      <c r="F133" s="47">
        <v>20</v>
      </c>
      <c r="G133" s="47">
        <v>20</v>
      </c>
      <c r="H133" s="47">
        <v>20</v>
      </c>
      <c r="I133" s="4"/>
    </row>
    <row r="134" spans="1:9" ht="63" outlineLevel="3" x14ac:dyDescent="0.25">
      <c r="A134" s="10" t="s">
        <v>137</v>
      </c>
      <c r="B134" s="6" t="s">
        <v>138</v>
      </c>
      <c r="C134" s="6" t="s">
        <v>1</v>
      </c>
      <c r="D134" s="16" t="s">
        <v>2</v>
      </c>
      <c r="E134" s="16" t="s">
        <v>2</v>
      </c>
      <c r="F134" s="47">
        <f>F135</f>
        <v>40</v>
      </c>
      <c r="G134" s="47">
        <f t="shared" ref="G134:H134" si="62">G135</f>
        <v>40</v>
      </c>
      <c r="H134" s="47">
        <f t="shared" si="62"/>
        <v>40</v>
      </c>
      <c r="I134" s="4"/>
    </row>
    <row r="135" spans="1:9" ht="63" outlineLevel="4" x14ac:dyDescent="0.25">
      <c r="A135" s="10" t="s">
        <v>27</v>
      </c>
      <c r="B135" s="6" t="s">
        <v>138</v>
      </c>
      <c r="C135" s="6" t="s">
        <v>28</v>
      </c>
      <c r="D135" s="16" t="s">
        <v>123</v>
      </c>
      <c r="E135" s="16" t="s">
        <v>12</v>
      </c>
      <c r="F135" s="47">
        <v>40</v>
      </c>
      <c r="G135" s="47">
        <v>40</v>
      </c>
      <c r="H135" s="47">
        <v>40</v>
      </c>
      <c r="I135" s="4"/>
    </row>
    <row r="136" spans="1:9" ht="47.25" outlineLevel="3" x14ac:dyDescent="0.25">
      <c r="A136" s="10" t="s">
        <v>139</v>
      </c>
      <c r="B136" s="6" t="s">
        <v>140</v>
      </c>
      <c r="C136" s="6" t="s">
        <v>1</v>
      </c>
      <c r="D136" s="16" t="s">
        <v>2</v>
      </c>
      <c r="E136" s="16" t="s">
        <v>2</v>
      </c>
      <c r="F136" s="47">
        <f>F137+F138</f>
        <v>1337.001</v>
      </c>
      <c r="G136" s="47">
        <f t="shared" ref="G136:H136" si="63">G137+G138</f>
        <v>1500</v>
      </c>
      <c r="H136" s="47">
        <f t="shared" si="63"/>
        <v>1500</v>
      </c>
      <c r="I136" s="4"/>
    </row>
    <row r="137" spans="1:9" ht="63" outlineLevel="4" x14ac:dyDescent="0.25">
      <c r="A137" s="10" t="s">
        <v>27</v>
      </c>
      <c r="B137" s="6" t="s">
        <v>140</v>
      </c>
      <c r="C137" s="6" t="s">
        <v>28</v>
      </c>
      <c r="D137" s="16" t="s">
        <v>123</v>
      </c>
      <c r="E137" s="16" t="s">
        <v>12</v>
      </c>
      <c r="F137" s="47">
        <f>500-88.097</f>
        <v>411.90300000000002</v>
      </c>
      <c r="G137" s="47">
        <v>500</v>
      </c>
      <c r="H137" s="47">
        <v>500</v>
      </c>
      <c r="I137" s="4"/>
    </row>
    <row r="138" spans="1:9" ht="63" outlineLevel="4" x14ac:dyDescent="0.25">
      <c r="A138" s="10" t="s">
        <v>27</v>
      </c>
      <c r="B138" s="6" t="s">
        <v>140</v>
      </c>
      <c r="C138" s="6" t="s">
        <v>28</v>
      </c>
      <c r="D138" s="16" t="s">
        <v>123</v>
      </c>
      <c r="E138" s="16" t="s">
        <v>53</v>
      </c>
      <c r="F138" s="47">
        <f>1000-74.902</f>
        <v>925.09799999999996</v>
      </c>
      <c r="G138" s="47">
        <v>1000</v>
      </c>
      <c r="H138" s="47">
        <v>1000</v>
      </c>
      <c r="I138" s="4"/>
    </row>
    <row r="139" spans="1:9" ht="47.25" outlineLevel="2" x14ac:dyDescent="0.25">
      <c r="A139" s="10" t="s">
        <v>141</v>
      </c>
      <c r="B139" s="6" t="s">
        <v>142</v>
      </c>
      <c r="C139" s="6" t="s">
        <v>1</v>
      </c>
      <c r="D139" s="16" t="s">
        <v>2</v>
      </c>
      <c r="E139" s="16" t="s">
        <v>2</v>
      </c>
      <c r="F139" s="47">
        <f>F140+F142+F144+F146+F148</f>
        <v>59241.34</v>
      </c>
      <c r="G139" s="47">
        <f t="shared" ref="G139:H140" si="64">G140</f>
        <v>950</v>
      </c>
      <c r="H139" s="47">
        <f t="shared" si="64"/>
        <v>950</v>
      </c>
      <c r="I139" s="4"/>
    </row>
    <row r="140" spans="1:9" ht="35.25" customHeight="1" outlineLevel="3" x14ac:dyDescent="0.25">
      <c r="A140" s="10" t="s">
        <v>143</v>
      </c>
      <c r="B140" s="6" t="s">
        <v>144</v>
      </c>
      <c r="C140" s="6" t="s">
        <v>1</v>
      </c>
      <c r="D140" s="16" t="s">
        <v>2</v>
      </c>
      <c r="E140" s="16" t="s">
        <v>2</v>
      </c>
      <c r="F140" s="47">
        <f>F141</f>
        <v>445.92200000000003</v>
      </c>
      <c r="G140" s="47">
        <f t="shared" si="64"/>
        <v>950</v>
      </c>
      <c r="H140" s="47">
        <f t="shared" si="64"/>
        <v>950</v>
      </c>
      <c r="I140" s="4"/>
    </row>
    <row r="141" spans="1:9" ht="63" outlineLevel="4" x14ac:dyDescent="0.25">
      <c r="A141" s="10" t="s">
        <v>27</v>
      </c>
      <c r="B141" s="6" t="s">
        <v>144</v>
      </c>
      <c r="C141" s="6" t="s">
        <v>28</v>
      </c>
      <c r="D141" s="16" t="s">
        <v>123</v>
      </c>
      <c r="E141" s="16" t="s">
        <v>12</v>
      </c>
      <c r="F141" s="47">
        <v>445.92200000000003</v>
      </c>
      <c r="G141" s="47">
        <v>950</v>
      </c>
      <c r="H141" s="47">
        <v>950</v>
      </c>
      <c r="I141" s="4"/>
    </row>
    <row r="142" spans="1:9" ht="47.25" outlineLevel="4" x14ac:dyDescent="0.25">
      <c r="A142" s="10" t="s">
        <v>631</v>
      </c>
      <c r="B142" s="16" t="s">
        <v>630</v>
      </c>
      <c r="C142" s="6" t="s">
        <v>1</v>
      </c>
      <c r="D142" s="16" t="s">
        <v>2</v>
      </c>
      <c r="E142" s="16" t="s">
        <v>2</v>
      </c>
      <c r="F142" s="47">
        <f>F143</f>
        <v>2473.578</v>
      </c>
      <c r="G142" s="47">
        <f t="shared" ref="G142:H142" si="65">G143</f>
        <v>0</v>
      </c>
      <c r="H142" s="47">
        <f t="shared" si="65"/>
        <v>0</v>
      </c>
      <c r="I142" s="4"/>
    </row>
    <row r="143" spans="1:9" ht="47.25" outlineLevel="4" x14ac:dyDescent="0.25">
      <c r="A143" s="10" t="s">
        <v>51</v>
      </c>
      <c r="B143" s="16" t="s">
        <v>630</v>
      </c>
      <c r="C143" s="6">
        <v>400</v>
      </c>
      <c r="D143" s="16" t="s">
        <v>123</v>
      </c>
      <c r="E143" s="16" t="s">
        <v>12</v>
      </c>
      <c r="F143" s="47">
        <f>2919.5-445.922</f>
        <v>2473.578</v>
      </c>
      <c r="G143" s="47">
        <v>0</v>
      </c>
      <c r="H143" s="47">
        <v>0</v>
      </c>
      <c r="I143" s="4"/>
    </row>
    <row r="144" spans="1:9" ht="31.5" hidden="1" outlineLevel="4" x14ac:dyDescent="0.25">
      <c r="A144" s="10" t="s">
        <v>638</v>
      </c>
      <c r="B144" s="16" t="s">
        <v>637</v>
      </c>
      <c r="C144" s="6" t="s">
        <v>1</v>
      </c>
      <c r="D144" s="16" t="s">
        <v>2</v>
      </c>
      <c r="E144" s="16" t="s">
        <v>2</v>
      </c>
      <c r="F144" s="47">
        <f>F145</f>
        <v>0</v>
      </c>
      <c r="G144" s="47">
        <f t="shared" ref="G144:H144" si="66">G145</f>
        <v>0</v>
      </c>
      <c r="H144" s="47">
        <f t="shared" si="66"/>
        <v>0</v>
      </c>
      <c r="I144" s="4"/>
    </row>
    <row r="145" spans="1:9" ht="47.25" hidden="1" outlineLevel="4" x14ac:dyDescent="0.25">
      <c r="A145" s="10" t="s">
        <v>51</v>
      </c>
      <c r="B145" s="16" t="s">
        <v>637</v>
      </c>
      <c r="C145" s="6">
        <v>400</v>
      </c>
      <c r="D145" s="16" t="s">
        <v>123</v>
      </c>
      <c r="E145" s="16" t="s">
        <v>12</v>
      </c>
      <c r="F145" s="47">
        <f>10266.3-10266.3</f>
        <v>0</v>
      </c>
      <c r="G145" s="47">
        <v>0</v>
      </c>
      <c r="H145" s="47">
        <v>0</v>
      </c>
      <c r="I145" s="4"/>
    </row>
    <row r="146" spans="1:9" outlineLevel="4" x14ac:dyDescent="0.25">
      <c r="A146" s="41" t="s">
        <v>643</v>
      </c>
      <c r="B146" s="40" t="s">
        <v>642</v>
      </c>
      <c r="C146" s="6" t="s">
        <v>1</v>
      </c>
      <c r="D146" s="16" t="s">
        <v>2</v>
      </c>
      <c r="E146" s="16" t="s">
        <v>2</v>
      </c>
      <c r="F146" s="47">
        <f>F147</f>
        <v>49000</v>
      </c>
      <c r="G146" s="47">
        <f t="shared" ref="G146:H146" si="67">G147</f>
        <v>0</v>
      </c>
      <c r="H146" s="47">
        <f t="shared" si="67"/>
        <v>0</v>
      </c>
      <c r="I146" s="4"/>
    </row>
    <row r="147" spans="1:9" ht="48" customHeight="1" outlineLevel="4" x14ac:dyDescent="0.25">
      <c r="A147" s="10" t="s">
        <v>27</v>
      </c>
      <c r="B147" s="16" t="s">
        <v>642</v>
      </c>
      <c r="C147" s="6">
        <v>600</v>
      </c>
      <c r="D147" s="16" t="s">
        <v>123</v>
      </c>
      <c r="E147" s="16" t="s">
        <v>29</v>
      </c>
      <c r="F147" s="47">
        <v>49000</v>
      </c>
      <c r="G147" s="47">
        <v>0</v>
      </c>
      <c r="H147" s="47">
        <v>0</v>
      </c>
      <c r="I147" s="4"/>
    </row>
    <row r="148" spans="1:9" ht="19.5" customHeight="1" outlineLevel="4" x14ac:dyDescent="0.25">
      <c r="A148" s="41" t="s">
        <v>643</v>
      </c>
      <c r="B148" s="40" t="s">
        <v>644</v>
      </c>
      <c r="C148" s="6" t="s">
        <v>1</v>
      </c>
      <c r="D148" s="16" t="s">
        <v>2</v>
      </c>
      <c r="E148" s="16" t="s">
        <v>2</v>
      </c>
      <c r="F148" s="47">
        <f>F149</f>
        <v>7321.84</v>
      </c>
      <c r="G148" s="47">
        <f t="shared" ref="G148:H148" si="68">G149</f>
        <v>0</v>
      </c>
      <c r="H148" s="47">
        <f t="shared" si="68"/>
        <v>0</v>
      </c>
      <c r="I148" s="4"/>
    </row>
    <row r="149" spans="1:9" ht="48" customHeight="1" outlineLevel="4" x14ac:dyDescent="0.25">
      <c r="A149" s="10" t="s">
        <v>27</v>
      </c>
      <c r="B149" s="16" t="s">
        <v>644</v>
      </c>
      <c r="C149" s="6">
        <v>600</v>
      </c>
      <c r="D149" s="16" t="s">
        <v>123</v>
      </c>
      <c r="E149" s="16" t="s">
        <v>29</v>
      </c>
      <c r="F149" s="47">
        <v>7321.84</v>
      </c>
      <c r="G149" s="47">
        <v>0</v>
      </c>
      <c r="H149" s="47">
        <v>0</v>
      </c>
      <c r="I149" s="4"/>
    </row>
    <row r="150" spans="1:9" ht="47.25" outlineLevel="2" x14ac:dyDescent="0.25">
      <c r="A150" s="10" t="s">
        <v>145</v>
      </c>
      <c r="B150" s="6" t="s">
        <v>146</v>
      </c>
      <c r="C150" s="6" t="s">
        <v>1</v>
      </c>
      <c r="D150" s="16" t="s">
        <v>2</v>
      </c>
      <c r="E150" s="16" t="s">
        <v>2</v>
      </c>
      <c r="F150" s="47">
        <f>F151</f>
        <v>54623.184000000001</v>
      </c>
      <c r="G150" s="47">
        <f t="shared" ref="G150:H151" si="69">G151</f>
        <v>5300</v>
      </c>
      <c r="H150" s="47">
        <f t="shared" si="69"/>
        <v>17000</v>
      </c>
      <c r="I150" s="4"/>
    </row>
    <row r="151" spans="1:9" ht="78.75" outlineLevel="3" x14ac:dyDescent="0.25">
      <c r="A151" s="10" t="s">
        <v>147</v>
      </c>
      <c r="B151" s="6" t="s">
        <v>148</v>
      </c>
      <c r="C151" s="6" t="s">
        <v>1</v>
      </c>
      <c r="D151" s="16" t="s">
        <v>2</v>
      </c>
      <c r="E151" s="16" t="s">
        <v>2</v>
      </c>
      <c r="F151" s="47">
        <f>F152</f>
        <v>54623.184000000001</v>
      </c>
      <c r="G151" s="47">
        <f t="shared" si="69"/>
        <v>5300</v>
      </c>
      <c r="H151" s="47">
        <f t="shared" si="69"/>
        <v>17000</v>
      </c>
      <c r="I151" s="4"/>
    </row>
    <row r="152" spans="1:9" ht="63" outlineLevel="4" x14ac:dyDescent="0.25">
      <c r="A152" s="10" t="s">
        <v>27</v>
      </c>
      <c r="B152" s="6" t="s">
        <v>148</v>
      </c>
      <c r="C152" s="6" t="s">
        <v>28</v>
      </c>
      <c r="D152" s="16" t="s">
        <v>123</v>
      </c>
      <c r="E152" s="16" t="s">
        <v>12</v>
      </c>
      <c r="F152" s="47">
        <f>44000+10664-40.816</f>
        <v>54623.184000000001</v>
      </c>
      <c r="G152" s="47">
        <f>17000-11700</f>
        <v>5300</v>
      </c>
      <c r="H152" s="47">
        <v>17000</v>
      </c>
      <c r="I152" s="4"/>
    </row>
    <row r="153" spans="1:9" ht="47.25" outlineLevel="2" x14ac:dyDescent="0.25">
      <c r="A153" s="10" t="s">
        <v>149</v>
      </c>
      <c r="B153" s="6" t="s">
        <v>150</v>
      </c>
      <c r="C153" s="6" t="s">
        <v>1</v>
      </c>
      <c r="D153" s="16" t="s">
        <v>2</v>
      </c>
      <c r="E153" s="16" t="s">
        <v>2</v>
      </c>
      <c r="F153" s="47">
        <f>F160+F162+F164+F166+F168+F170+F156+F154+F158</f>
        <v>157914.46599999999</v>
      </c>
      <c r="G153" s="47">
        <f>G160+G162+G164+G166+G168+G170+G156+G154</f>
        <v>92413.8</v>
      </c>
      <c r="H153" s="47">
        <f>H160+H162+H164+H166+H168+H170+H156</f>
        <v>2413.8000000000002</v>
      </c>
      <c r="I153" s="4"/>
    </row>
    <row r="154" spans="1:9" ht="78.75" outlineLevel="2" x14ac:dyDescent="0.25">
      <c r="A154" s="41" t="s">
        <v>640</v>
      </c>
      <c r="B154" s="42" t="s">
        <v>639</v>
      </c>
      <c r="C154" s="6" t="s">
        <v>1</v>
      </c>
      <c r="D154" s="16" t="s">
        <v>2</v>
      </c>
      <c r="E154" s="16" t="s">
        <v>2</v>
      </c>
      <c r="F154" s="47">
        <f>F155</f>
        <v>78971.5</v>
      </c>
      <c r="G154" s="47">
        <f>G155</f>
        <v>90000</v>
      </c>
      <c r="H154" s="47">
        <f>H155</f>
        <v>0</v>
      </c>
      <c r="I154" s="4"/>
    </row>
    <row r="155" spans="1:9" ht="47.25" outlineLevel="2" x14ac:dyDescent="0.25">
      <c r="A155" s="10" t="s">
        <v>51</v>
      </c>
      <c r="B155" s="6" t="s">
        <v>639</v>
      </c>
      <c r="C155" s="6">
        <v>400</v>
      </c>
      <c r="D155" s="16" t="s">
        <v>123</v>
      </c>
      <c r="E155" s="16" t="s">
        <v>53</v>
      </c>
      <c r="F155" s="47">
        <f>68705.2+10266.3</f>
        <v>78971.5</v>
      </c>
      <c r="G155" s="47">
        <f>78300+11700</f>
        <v>90000</v>
      </c>
      <c r="H155" s="47">
        <v>0</v>
      </c>
      <c r="I155" s="4"/>
    </row>
    <row r="156" spans="1:9" ht="94.5" outlineLevel="2" x14ac:dyDescent="0.25">
      <c r="A156" s="41" t="s">
        <v>627</v>
      </c>
      <c r="B156" s="42" t="s">
        <v>626</v>
      </c>
      <c r="C156" s="6" t="s">
        <v>1</v>
      </c>
      <c r="D156" s="16" t="s">
        <v>2</v>
      </c>
      <c r="E156" s="16" t="s">
        <v>2</v>
      </c>
      <c r="F156" s="47">
        <f>F157</f>
        <v>20824.7</v>
      </c>
      <c r="G156" s="47">
        <f>G157</f>
        <v>0</v>
      </c>
      <c r="H156" s="47">
        <f>H157</f>
        <v>0</v>
      </c>
      <c r="I156" s="4"/>
    </row>
    <row r="157" spans="1:9" ht="51" customHeight="1" outlineLevel="2" x14ac:dyDescent="0.25">
      <c r="A157" s="10" t="s">
        <v>27</v>
      </c>
      <c r="B157" s="6" t="s">
        <v>626</v>
      </c>
      <c r="C157" s="6" t="s">
        <v>28</v>
      </c>
      <c r="D157" s="16" t="s">
        <v>123</v>
      </c>
      <c r="E157" s="16" t="s">
        <v>53</v>
      </c>
      <c r="F157" s="47">
        <f>20408.2+416.5</f>
        <v>20824.7</v>
      </c>
      <c r="G157" s="47">
        <v>0</v>
      </c>
      <c r="H157" s="47">
        <v>0</v>
      </c>
      <c r="I157" s="4"/>
    </row>
    <row r="158" spans="1:9" ht="97.5" customHeight="1" outlineLevel="2" x14ac:dyDescent="0.25">
      <c r="A158" s="41" t="s">
        <v>627</v>
      </c>
      <c r="B158" s="42" t="s">
        <v>641</v>
      </c>
      <c r="C158" s="6" t="s">
        <v>1</v>
      </c>
      <c r="D158" s="16" t="s">
        <v>2</v>
      </c>
      <c r="E158" s="16" t="s">
        <v>2</v>
      </c>
      <c r="F158" s="47">
        <f>F159</f>
        <v>2040.816</v>
      </c>
      <c r="G158" s="47">
        <f t="shared" ref="G158:H158" si="70">G159</f>
        <v>0</v>
      </c>
      <c r="H158" s="47">
        <f t="shared" si="70"/>
        <v>0</v>
      </c>
      <c r="I158" s="4"/>
    </row>
    <row r="159" spans="1:9" ht="51" customHeight="1" outlineLevel="2" x14ac:dyDescent="0.25">
      <c r="A159" s="10" t="s">
        <v>27</v>
      </c>
      <c r="B159" s="6" t="s">
        <v>641</v>
      </c>
      <c r="C159" s="6" t="s">
        <v>28</v>
      </c>
      <c r="D159" s="16" t="s">
        <v>123</v>
      </c>
      <c r="E159" s="16" t="s">
        <v>53</v>
      </c>
      <c r="F159" s="47">
        <f>2000+40.816</f>
        <v>2040.816</v>
      </c>
      <c r="G159" s="47">
        <v>0</v>
      </c>
      <c r="H159" s="47">
        <v>0</v>
      </c>
      <c r="I159" s="4"/>
    </row>
    <row r="160" spans="1:9" ht="63" outlineLevel="3" x14ac:dyDescent="0.25">
      <c r="A160" s="10" t="s">
        <v>151</v>
      </c>
      <c r="B160" s="6" t="s">
        <v>152</v>
      </c>
      <c r="C160" s="6" t="s">
        <v>1</v>
      </c>
      <c r="D160" s="16" t="s">
        <v>2</v>
      </c>
      <c r="E160" s="16" t="s">
        <v>2</v>
      </c>
      <c r="F160" s="47">
        <f>F161</f>
        <v>26030.92</v>
      </c>
      <c r="G160" s="47">
        <f t="shared" ref="G160:H160" si="71">G161</f>
        <v>0</v>
      </c>
      <c r="H160" s="47">
        <f t="shared" si="71"/>
        <v>0</v>
      </c>
      <c r="I160" s="4"/>
    </row>
    <row r="161" spans="1:9" ht="63" outlineLevel="4" x14ac:dyDescent="0.25">
      <c r="A161" s="10" t="s">
        <v>27</v>
      </c>
      <c r="B161" s="6" t="s">
        <v>152</v>
      </c>
      <c r="C161" s="6" t="s">
        <v>28</v>
      </c>
      <c r="D161" s="16" t="s">
        <v>123</v>
      </c>
      <c r="E161" s="16" t="s">
        <v>29</v>
      </c>
      <c r="F161" s="47">
        <v>26030.92</v>
      </c>
      <c r="G161" s="47">
        <v>0</v>
      </c>
      <c r="H161" s="47">
        <v>0</v>
      </c>
      <c r="I161" s="4"/>
    </row>
    <row r="162" spans="1:9" ht="78.75" outlineLevel="3" x14ac:dyDescent="0.25">
      <c r="A162" s="10" t="s">
        <v>153</v>
      </c>
      <c r="B162" s="6" t="s">
        <v>154</v>
      </c>
      <c r="C162" s="6" t="s">
        <v>1</v>
      </c>
      <c r="D162" s="16" t="s">
        <v>2</v>
      </c>
      <c r="E162" s="16" t="s">
        <v>2</v>
      </c>
      <c r="F162" s="47">
        <f>F163</f>
        <v>8510.23</v>
      </c>
      <c r="G162" s="47">
        <f t="shared" ref="G162:H162" si="72">G163</f>
        <v>0</v>
      </c>
      <c r="H162" s="47">
        <f t="shared" si="72"/>
        <v>0</v>
      </c>
      <c r="I162" s="4"/>
    </row>
    <row r="163" spans="1:9" ht="63" outlineLevel="4" x14ac:dyDescent="0.25">
      <c r="A163" s="10" t="s">
        <v>27</v>
      </c>
      <c r="B163" s="6" t="s">
        <v>154</v>
      </c>
      <c r="C163" s="6" t="s">
        <v>28</v>
      </c>
      <c r="D163" s="16" t="s">
        <v>123</v>
      </c>
      <c r="E163" s="16" t="s">
        <v>29</v>
      </c>
      <c r="F163" s="47">
        <f>7403.9+1106.33</f>
        <v>8510.23</v>
      </c>
      <c r="G163" s="47">
        <v>0</v>
      </c>
      <c r="H163" s="47">
        <v>0</v>
      </c>
      <c r="I163" s="4"/>
    </row>
    <row r="164" spans="1:9" ht="78.75" hidden="1" outlineLevel="3" x14ac:dyDescent="0.25">
      <c r="A164" s="10" t="s">
        <v>153</v>
      </c>
      <c r="B164" s="6" t="s">
        <v>155</v>
      </c>
      <c r="C164" s="6" t="s">
        <v>1</v>
      </c>
      <c r="D164" s="16" t="s">
        <v>2</v>
      </c>
      <c r="E164" s="16" t="s">
        <v>2</v>
      </c>
      <c r="F164" s="47">
        <f>F165</f>
        <v>0</v>
      </c>
      <c r="G164" s="47">
        <f t="shared" ref="G164:H164" si="73">G165</f>
        <v>0</v>
      </c>
      <c r="H164" s="47">
        <f t="shared" si="73"/>
        <v>0</v>
      </c>
      <c r="I164" s="4"/>
    </row>
    <row r="165" spans="1:9" ht="63" hidden="1" outlineLevel="4" x14ac:dyDescent="0.25">
      <c r="A165" s="10" t="s">
        <v>27</v>
      </c>
      <c r="B165" s="6" t="s">
        <v>155</v>
      </c>
      <c r="C165" s="6" t="s">
        <v>28</v>
      </c>
      <c r="D165" s="16" t="s">
        <v>123</v>
      </c>
      <c r="E165" s="16" t="s">
        <v>29</v>
      </c>
      <c r="F165" s="47">
        <f>1106.33-1106.33</f>
        <v>0</v>
      </c>
      <c r="G165" s="47">
        <v>0</v>
      </c>
      <c r="H165" s="47">
        <v>0</v>
      </c>
      <c r="I165" s="4"/>
    </row>
    <row r="166" spans="1:9" ht="63" outlineLevel="3" collapsed="1" x14ac:dyDescent="0.25">
      <c r="A166" s="10" t="s">
        <v>156</v>
      </c>
      <c r="B166" s="6" t="s">
        <v>157</v>
      </c>
      <c r="C166" s="6" t="s">
        <v>1</v>
      </c>
      <c r="D166" s="16" t="s">
        <v>2</v>
      </c>
      <c r="E166" s="16" t="s">
        <v>2</v>
      </c>
      <c r="F166" s="47">
        <f>F167</f>
        <v>2413.8000000000002</v>
      </c>
      <c r="G166" s="47">
        <f t="shared" ref="G166:H166" si="74">G167</f>
        <v>2413.8000000000002</v>
      </c>
      <c r="H166" s="47">
        <f t="shared" si="74"/>
        <v>2413.8000000000002</v>
      </c>
      <c r="I166" s="4"/>
    </row>
    <row r="167" spans="1:9" ht="63" outlineLevel="4" x14ac:dyDescent="0.25">
      <c r="A167" s="10" t="s">
        <v>27</v>
      </c>
      <c r="B167" s="6" t="s">
        <v>157</v>
      </c>
      <c r="C167" s="6" t="s">
        <v>28</v>
      </c>
      <c r="D167" s="16" t="s">
        <v>123</v>
      </c>
      <c r="E167" s="16" t="s">
        <v>29</v>
      </c>
      <c r="F167" s="47">
        <f>2100+313.8</f>
        <v>2413.8000000000002</v>
      </c>
      <c r="G167" s="47">
        <f>2100+313.8</f>
        <v>2413.8000000000002</v>
      </c>
      <c r="H167" s="47">
        <f>2100+313.8</f>
        <v>2413.8000000000002</v>
      </c>
      <c r="I167" s="4"/>
    </row>
    <row r="168" spans="1:9" ht="63" hidden="1" outlineLevel="3" x14ac:dyDescent="0.25">
      <c r="A168" s="10" t="s">
        <v>156</v>
      </c>
      <c r="B168" s="6" t="s">
        <v>158</v>
      </c>
      <c r="C168" s="6" t="s">
        <v>1</v>
      </c>
      <c r="D168" s="16" t="s">
        <v>2</v>
      </c>
      <c r="E168" s="16" t="s">
        <v>2</v>
      </c>
      <c r="F168" s="47">
        <f>F169</f>
        <v>0</v>
      </c>
      <c r="G168" s="47">
        <f t="shared" ref="G168:H168" si="75">G169</f>
        <v>0</v>
      </c>
      <c r="H168" s="47">
        <f t="shared" si="75"/>
        <v>0</v>
      </c>
      <c r="I168" s="4"/>
    </row>
    <row r="169" spans="1:9" ht="63" hidden="1" outlineLevel="4" x14ac:dyDescent="0.25">
      <c r="A169" s="10" t="s">
        <v>27</v>
      </c>
      <c r="B169" s="6" t="s">
        <v>158</v>
      </c>
      <c r="C169" s="6" t="s">
        <v>28</v>
      </c>
      <c r="D169" s="16" t="s">
        <v>123</v>
      </c>
      <c r="E169" s="16" t="s">
        <v>29</v>
      </c>
      <c r="F169" s="47">
        <f>313.8-313.8</f>
        <v>0</v>
      </c>
      <c r="G169" s="47">
        <f>313.8-313.8</f>
        <v>0</v>
      </c>
      <c r="H169" s="47">
        <f>313.8-313.8</f>
        <v>0</v>
      </c>
      <c r="I169" s="4"/>
    </row>
    <row r="170" spans="1:9" ht="63" outlineLevel="3" collapsed="1" x14ac:dyDescent="0.25">
      <c r="A170" s="10" t="s">
        <v>159</v>
      </c>
      <c r="B170" s="6" t="s">
        <v>160</v>
      </c>
      <c r="C170" s="6" t="s">
        <v>1</v>
      </c>
      <c r="D170" s="16" t="s">
        <v>2</v>
      </c>
      <c r="E170" s="16" t="s">
        <v>2</v>
      </c>
      <c r="F170" s="47">
        <f>F171</f>
        <v>19122.5</v>
      </c>
      <c r="G170" s="47">
        <f t="shared" ref="G170:H170" si="76">G171</f>
        <v>0</v>
      </c>
      <c r="H170" s="47">
        <f t="shared" si="76"/>
        <v>0</v>
      </c>
      <c r="I170" s="4"/>
    </row>
    <row r="171" spans="1:9" ht="63" outlineLevel="4" x14ac:dyDescent="0.25">
      <c r="A171" s="10" t="s">
        <v>27</v>
      </c>
      <c r="B171" s="6" t="s">
        <v>160</v>
      </c>
      <c r="C171" s="6" t="s">
        <v>28</v>
      </c>
      <c r="D171" s="16" t="s">
        <v>123</v>
      </c>
      <c r="E171" s="16" t="s">
        <v>12</v>
      </c>
      <c r="F171" s="47">
        <v>19122.5</v>
      </c>
      <c r="G171" s="47">
        <v>0</v>
      </c>
      <c r="H171" s="47">
        <v>0</v>
      </c>
      <c r="I171" s="4"/>
    </row>
    <row r="172" spans="1:9" s="7" customFormat="1" ht="47.25" x14ac:dyDescent="0.25">
      <c r="A172" s="31" t="s">
        <v>161</v>
      </c>
      <c r="B172" s="32" t="s">
        <v>162</v>
      </c>
      <c r="C172" s="32" t="s">
        <v>1</v>
      </c>
      <c r="D172" s="33" t="s">
        <v>2</v>
      </c>
      <c r="E172" s="33" t="s">
        <v>2</v>
      </c>
      <c r="F172" s="48">
        <f>F173+F182</f>
        <v>4142.7000000000007</v>
      </c>
      <c r="G172" s="48">
        <f t="shared" ref="G172:H172" si="77">G173+G182</f>
        <v>3942.7000000000003</v>
      </c>
      <c r="H172" s="48">
        <f t="shared" si="77"/>
        <v>3942.7000000000003</v>
      </c>
      <c r="I172" s="8"/>
    </row>
    <row r="173" spans="1:9" ht="47.25" outlineLevel="2" x14ac:dyDescent="0.25">
      <c r="A173" s="10" t="s">
        <v>163</v>
      </c>
      <c r="B173" s="6" t="s">
        <v>164</v>
      </c>
      <c r="C173" s="6" t="s">
        <v>1</v>
      </c>
      <c r="D173" s="16" t="s">
        <v>2</v>
      </c>
      <c r="E173" s="16" t="s">
        <v>2</v>
      </c>
      <c r="F173" s="47">
        <f>F174+F176+F178+F180</f>
        <v>964</v>
      </c>
      <c r="G173" s="47">
        <f t="shared" ref="G173:H173" si="78">G174+G176+G178</f>
        <v>764</v>
      </c>
      <c r="H173" s="47">
        <f t="shared" si="78"/>
        <v>764</v>
      </c>
      <c r="I173" s="4"/>
    </row>
    <row r="174" spans="1:9" ht="47.25" outlineLevel="3" x14ac:dyDescent="0.25">
      <c r="A174" s="10" t="s">
        <v>135</v>
      </c>
      <c r="B174" s="6" t="s">
        <v>165</v>
      </c>
      <c r="C174" s="6" t="s">
        <v>1</v>
      </c>
      <c r="D174" s="16" t="s">
        <v>2</v>
      </c>
      <c r="E174" s="16" t="s">
        <v>2</v>
      </c>
      <c r="F174" s="47">
        <f>F175</f>
        <v>3</v>
      </c>
      <c r="G174" s="47">
        <f t="shared" ref="G174:H174" si="79">G175</f>
        <v>3</v>
      </c>
      <c r="H174" s="47">
        <f t="shared" si="79"/>
        <v>3</v>
      </c>
      <c r="I174" s="4"/>
    </row>
    <row r="175" spans="1:9" ht="47.25" outlineLevel="4" x14ac:dyDescent="0.25">
      <c r="A175" s="10" t="s">
        <v>15</v>
      </c>
      <c r="B175" s="6" t="s">
        <v>165</v>
      </c>
      <c r="C175" s="6" t="s">
        <v>16</v>
      </c>
      <c r="D175" s="16" t="s">
        <v>113</v>
      </c>
      <c r="E175" s="16" t="s">
        <v>113</v>
      </c>
      <c r="F175" s="47">
        <v>3</v>
      </c>
      <c r="G175" s="47">
        <v>3</v>
      </c>
      <c r="H175" s="47">
        <v>3</v>
      </c>
      <c r="I175" s="4"/>
    </row>
    <row r="176" spans="1:9" ht="47.25" outlineLevel="3" x14ac:dyDescent="0.25">
      <c r="A176" s="10" t="s">
        <v>166</v>
      </c>
      <c r="B176" s="6" t="s">
        <v>167</v>
      </c>
      <c r="C176" s="6" t="s">
        <v>1</v>
      </c>
      <c r="D176" s="16" t="s">
        <v>2</v>
      </c>
      <c r="E176" s="16" t="s">
        <v>2</v>
      </c>
      <c r="F176" s="47">
        <f>F177</f>
        <v>662</v>
      </c>
      <c r="G176" s="47">
        <f t="shared" ref="G176:H176" si="80">G177</f>
        <v>662</v>
      </c>
      <c r="H176" s="47">
        <f t="shared" si="80"/>
        <v>662</v>
      </c>
      <c r="I176" s="4"/>
    </row>
    <row r="177" spans="1:9" ht="47.25" outlineLevel="4" x14ac:dyDescent="0.25">
      <c r="A177" s="10" t="s">
        <v>15</v>
      </c>
      <c r="B177" s="6" t="s">
        <v>167</v>
      </c>
      <c r="C177" s="6" t="s">
        <v>16</v>
      </c>
      <c r="D177" s="16" t="s">
        <v>113</v>
      </c>
      <c r="E177" s="16" t="s">
        <v>113</v>
      </c>
      <c r="F177" s="47">
        <v>662</v>
      </c>
      <c r="G177" s="47">
        <v>662</v>
      </c>
      <c r="H177" s="47">
        <v>662</v>
      </c>
      <c r="I177" s="4"/>
    </row>
    <row r="178" spans="1:9" ht="94.5" outlineLevel="3" x14ac:dyDescent="0.25">
      <c r="A178" s="10" t="s">
        <v>168</v>
      </c>
      <c r="B178" s="6" t="s">
        <v>169</v>
      </c>
      <c r="C178" s="6" t="s">
        <v>1</v>
      </c>
      <c r="D178" s="16" t="s">
        <v>2</v>
      </c>
      <c r="E178" s="16" t="s">
        <v>2</v>
      </c>
      <c r="F178" s="47">
        <f>F179</f>
        <v>99</v>
      </c>
      <c r="G178" s="47">
        <f t="shared" ref="G178:H178" si="81">G179</f>
        <v>99</v>
      </c>
      <c r="H178" s="47">
        <f t="shared" si="81"/>
        <v>99</v>
      </c>
      <c r="I178" s="4"/>
    </row>
    <row r="179" spans="1:9" ht="31.5" outlineLevel="4" x14ac:dyDescent="0.25">
      <c r="A179" s="10" t="s">
        <v>66</v>
      </c>
      <c r="B179" s="6" t="s">
        <v>169</v>
      </c>
      <c r="C179" s="6" t="s">
        <v>67</v>
      </c>
      <c r="D179" s="16" t="s">
        <v>113</v>
      </c>
      <c r="E179" s="16" t="s">
        <v>113</v>
      </c>
      <c r="F179" s="47">
        <v>99</v>
      </c>
      <c r="G179" s="47">
        <v>99</v>
      </c>
      <c r="H179" s="47">
        <v>99</v>
      </c>
      <c r="I179" s="4"/>
    </row>
    <row r="180" spans="1:9" ht="31.5" outlineLevel="4" x14ac:dyDescent="0.25">
      <c r="A180" s="41" t="s">
        <v>648</v>
      </c>
      <c r="B180" s="40" t="s">
        <v>647</v>
      </c>
      <c r="C180" s="6" t="s">
        <v>1</v>
      </c>
      <c r="D180" s="16" t="s">
        <v>2</v>
      </c>
      <c r="E180" s="16" t="s">
        <v>2</v>
      </c>
      <c r="F180" s="47">
        <f>F181</f>
        <v>200</v>
      </c>
      <c r="G180" s="47">
        <f t="shared" ref="G180:H180" si="82">G181</f>
        <v>0</v>
      </c>
      <c r="H180" s="47">
        <f t="shared" si="82"/>
        <v>0</v>
      </c>
      <c r="I180" s="4"/>
    </row>
    <row r="181" spans="1:9" ht="47.25" outlineLevel="4" x14ac:dyDescent="0.25">
      <c r="A181" s="10" t="s">
        <v>15</v>
      </c>
      <c r="B181" s="16" t="s">
        <v>647</v>
      </c>
      <c r="C181" s="6">
        <v>200</v>
      </c>
      <c r="D181" s="16" t="s">
        <v>113</v>
      </c>
      <c r="E181" s="16" t="s">
        <v>113</v>
      </c>
      <c r="F181" s="47">
        <v>200</v>
      </c>
      <c r="G181" s="47">
        <v>0</v>
      </c>
      <c r="H181" s="47">
        <v>0</v>
      </c>
      <c r="I181" s="4"/>
    </row>
    <row r="182" spans="1:9" ht="47.25" outlineLevel="2" x14ac:dyDescent="0.25">
      <c r="A182" s="10" t="s">
        <v>6</v>
      </c>
      <c r="B182" s="6" t="s">
        <v>170</v>
      </c>
      <c r="C182" s="6" t="s">
        <v>1</v>
      </c>
      <c r="D182" s="16" t="s">
        <v>2</v>
      </c>
      <c r="E182" s="16" t="s">
        <v>2</v>
      </c>
      <c r="F182" s="47">
        <f>F183</f>
        <v>3178.7000000000003</v>
      </c>
      <c r="G182" s="47">
        <f t="shared" ref="G182:H182" si="83">G183</f>
        <v>3178.7000000000003</v>
      </c>
      <c r="H182" s="47">
        <f t="shared" si="83"/>
        <v>3178.7000000000003</v>
      </c>
      <c r="I182" s="4"/>
    </row>
    <row r="183" spans="1:9" ht="47.25" outlineLevel="3" x14ac:dyDescent="0.25">
      <c r="A183" s="10" t="s">
        <v>8</v>
      </c>
      <c r="B183" s="6" t="s">
        <v>171</v>
      </c>
      <c r="C183" s="6" t="s">
        <v>1</v>
      </c>
      <c r="D183" s="16" t="s">
        <v>2</v>
      </c>
      <c r="E183" s="16" t="s">
        <v>2</v>
      </c>
      <c r="F183" s="47">
        <f>F184+F185</f>
        <v>3178.7000000000003</v>
      </c>
      <c r="G183" s="47">
        <f t="shared" ref="G183:H183" si="84">G184+G185</f>
        <v>3178.7000000000003</v>
      </c>
      <c r="H183" s="47">
        <f t="shared" si="84"/>
        <v>3178.7000000000003</v>
      </c>
      <c r="I183" s="4"/>
    </row>
    <row r="184" spans="1:9" ht="110.25" outlineLevel="4" x14ac:dyDescent="0.25">
      <c r="A184" s="10" t="s">
        <v>10</v>
      </c>
      <c r="B184" s="6" t="s">
        <v>171</v>
      </c>
      <c r="C184" s="6" t="s">
        <v>11</v>
      </c>
      <c r="D184" s="16" t="s">
        <v>113</v>
      </c>
      <c r="E184" s="16" t="s">
        <v>81</v>
      </c>
      <c r="F184" s="47">
        <v>3135.9</v>
      </c>
      <c r="G184" s="47">
        <v>3135.9</v>
      </c>
      <c r="H184" s="47">
        <v>3135.9</v>
      </c>
      <c r="I184" s="4"/>
    </row>
    <row r="185" spans="1:9" ht="47.25" outlineLevel="4" x14ac:dyDescent="0.25">
      <c r="A185" s="10" t="s">
        <v>15</v>
      </c>
      <c r="B185" s="6" t="s">
        <v>171</v>
      </c>
      <c r="C185" s="6" t="s">
        <v>16</v>
      </c>
      <c r="D185" s="16" t="s">
        <v>113</v>
      </c>
      <c r="E185" s="16" t="s">
        <v>81</v>
      </c>
      <c r="F185" s="47">
        <v>42.8</v>
      </c>
      <c r="G185" s="47">
        <v>42.8</v>
      </c>
      <c r="H185" s="47">
        <v>42.8</v>
      </c>
      <c r="I185" s="4"/>
    </row>
    <row r="186" spans="1:9" s="7" customFormat="1" ht="63" x14ac:dyDescent="0.25">
      <c r="A186" s="31" t="s">
        <v>172</v>
      </c>
      <c r="B186" s="32" t="s">
        <v>173</v>
      </c>
      <c r="C186" s="32" t="s">
        <v>1</v>
      </c>
      <c r="D186" s="33" t="s">
        <v>2</v>
      </c>
      <c r="E186" s="33" t="s">
        <v>2</v>
      </c>
      <c r="F186" s="48">
        <f>F187+F195+F199</f>
        <v>14452.9</v>
      </c>
      <c r="G186" s="48">
        <f t="shared" ref="G186:H186" si="85">G187+G195+G199</f>
        <v>17657.599999999999</v>
      </c>
      <c r="H186" s="48">
        <f t="shared" si="85"/>
        <v>22358</v>
      </c>
      <c r="I186" s="8"/>
    </row>
    <row r="187" spans="1:9" s="13" customFormat="1" ht="47.25" outlineLevel="1" x14ac:dyDescent="0.25">
      <c r="A187" s="28" t="s">
        <v>174</v>
      </c>
      <c r="B187" s="29" t="s">
        <v>175</v>
      </c>
      <c r="C187" s="29" t="s">
        <v>1</v>
      </c>
      <c r="D187" s="30" t="s">
        <v>2</v>
      </c>
      <c r="E187" s="30" t="s">
        <v>2</v>
      </c>
      <c r="F187" s="46">
        <f>F188+F192</f>
        <v>13275.5</v>
      </c>
      <c r="G187" s="46">
        <f t="shared" ref="G187:H187" si="86">G188+G192</f>
        <v>15897.8</v>
      </c>
      <c r="H187" s="46">
        <f t="shared" si="86"/>
        <v>14790</v>
      </c>
      <c r="I187" s="12"/>
    </row>
    <row r="188" spans="1:9" ht="78.75" outlineLevel="2" x14ac:dyDescent="0.25">
      <c r="A188" s="10" t="s">
        <v>176</v>
      </c>
      <c r="B188" s="6" t="s">
        <v>177</v>
      </c>
      <c r="C188" s="6" t="s">
        <v>1</v>
      </c>
      <c r="D188" s="16" t="s">
        <v>2</v>
      </c>
      <c r="E188" s="16" t="s">
        <v>2</v>
      </c>
      <c r="F188" s="47">
        <f>F189</f>
        <v>12439.5</v>
      </c>
      <c r="G188" s="47">
        <f t="shared" ref="G188:H188" si="87">G189</f>
        <v>12439.5</v>
      </c>
      <c r="H188" s="47">
        <f t="shared" si="87"/>
        <v>12439.5</v>
      </c>
      <c r="I188" s="4"/>
    </row>
    <row r="189" spans="1:9" ht="47.25" outlineLevel="3" x14ac:dyDescent="0.25">
      <c r="A189" s="10" t="s">
        <v>8</v>
      </c>
      <c r="B189" s="6" t="s">
        <v>178</v>
      </c>
      <c r="C189" s="6" t="s">
        <v>1</v>
      </c>
      <c r="D189" s="16" t="s">
        <v>2</v>
      </c>
      <c r="E189" s="16" t="s">
        <v>2</v>
      </c>
      <c r="F189" s="47">
        <f>F190+F191</f>
        <v>12439.5</v>
      </c>
      <c r="G189" s="47">
        <f t="shared" ref="G189:H189" si="88">G190+G191</f>
        <v>12439.5</v>
      </c>
      <c r="H189" s="47">
        <f t="shared" si="88"/>
        <v>12439.5</v>
      </c>
      <c r="I189" s="4"/>
    </row>
    <row r="190" spans="1:9" ht="110.25" outlineLevel="4" x14ac:dyDescent="0.25">
      <c r="A190" s="10" t="s">
        <v>10</v>
      </c>
      <c r="B190" s="6" t="s">
        <v>178</v>
      </c>
      <c r="C190" s="6" t="s">
        <v>11</v>
      </c>
      <c r="D190" s="16" t="s">
        <v>12</v>
      </c>
      <c r="E190" s="16" t="s">
        <v>179</v>
      </c>
      <c r="F190" s="47">
        <v>12032.5</v>
      </c>
      <c r="G190" s="47">
        <v>12032.5</v>
      </c>
      <c r="H190" s="47">
        <v>12032.5</v>
      </c>
      <c r="I190" s="4"/>
    </row>
    <row r="191" spans="1:9" ht="47.25" outlineLevel="4" x14ac:dyDescent="0.25">
      <c r="A191" s="10" t="s">
        <v>15</v>
      </c>
      <c r="B191" s="6" t="s">
        <v>178</v>
      </c>
      <c r="C191" s="6" t="s">
        <v>16</v>
      </c>
      <c r="D191" s="16" t="s">
        <v>12</v>
      </c>
      <c r="E191" s="16" t="s">
        <v>179</v>
      </c>
      <c r="F191" s="47">
        <v>407</v>
      </c>
      <c r="G191" s="47">
        <v>407</v>
      </c>
      <c r="H191" s="47">
        <v>407</v>
      </c>
      <c r="I191" s="4"/>
    </row>
    <row r="192" spans="1:9" ht="63" outlineLevel="2" x14ac:dyDescent="0.25">
      <c r="A192" s="10" t="s">
        <v>180</v>
      </c>
      <c r="B192" s="6" t="s">
        <v>181</v>
      </c>
      <c r="C192" s="6" t="s">
        <v>1</v>
      </c>
      <c r="D192" s="16" t="s">
        <v>2</v>
      </c>
      <c r="E192" s="16" t="s">
        <v>2</v>
      </c>
      <c r="F192" s="47">
        <f>F193</f>
        <v>836</v>
      </c>
      <c r="G192" s="47">
        <f t="shared" ref="G192:H193" si="89">G193</f>
        <v>3458.3</v>
      </c>
      <c r="H192" s="47">
        <f t="shared" si="89"/>
        <v>2350.5</v>
      </c>
      <c r="I192" s="4"/>
    </row>
    <row r="193" spans="1:9" ht="47.25" outlineLevel="3" x14ac:dyDescent="0.25">
      <c r="A193" s="10" t="s">
        <v>182</v>
      </c>
      <c r="B193" s="6" t="s">
        <v>183</v>
      </c>
      <c r="C193" s="6" t="s">
        <v>1</v>
      </c>
      <c r="D193" s="16" t="s">
        <v>2</v>
      </c>
      <c r="E193" s="16" t="s">
        <v>2</v>
      </c>
      <c r="F193" s="47">
        <f>F194</f>
        <v>836</v>
      </c>
      <c r="G193" s="47">
        <f t="shared" si="89"/>
        <v>3458.3</v>
      </c>
      <c r="H193" s="47">
        <f t="shared" si="89"/>
        <v>2350.5</v>
      </c>
      <c r="I193" s="4"/>
    </row>
    <row r="194" spans="1:9" outlineLevel="4" x14ac:dyDescent="0.25">
      <c r="A194" s="10" t="s">
        <v>19</v>
      </c>
      <c r="B194" s="6" t="s">
        <v>183</v>
      </c>
      <c r="C194" s="6" t="s">
        <v>20</v>
      </c>
      <c r="D194" s="16" t="s">
        <v>12</v>
      </c>
      <c r="E194" s="16" t="s">
        <v>123</v>
      </c>
      <c r="F194" s="47">
        <f>547.5+288.5</f>
        <v>836</v>
      </c>
      <c r="G194" s="47">
        <f>547.5-33.7+2944.5</f>
        <v>3458.3</v>
      </c>
      <c r="H194" s="47">
        <f>547.5-19.3+1822.3</f>
        <v>2350.5</v>
      </c>
      <c r="I194" s="4"/>
    </row>
    <row r="195" spans="1:9" s="13" customFormat="1" ht="31.5" outlineLevel="1" x14ac:dyDescent="0.25">
      <c r="A195" s="28" t="s">
        <v>184</v>
      </c>
      <c r="B195" s="29" t="s">
        <v>185</v>
      </c>
      <c r="C195" s="29" t="s">
        <v>1</v>
      </c>
      <c r="D195" s="30" t="s">
        <v>2</v>
      </c>
      <c r="E195" s="30" t="s">
        <v>2</v>
      </c>
      <c r="F195" s="46">
        <f>F196</f>
        <v>177.39999999999998</v>
      </c>
      <c r="G195" s="46">
        <f t="shared" ref="G195:H197" si="90">G196</f>
        <v>759.79999999999973</v>
      </c>
      <c r="H195" s="46">
        <f t="shared" si="90"/>
        <v>6567.9999999999991</v>
      </c>
      <c r="I195" s="12"/>
    </row>
    <row r="196" spans="1:9" ht="47.25" outlineLevel="2" x14ac:dyDescent="0.25">
      <c r="A196" s="10" t="s">
        <v>186</v>
      </c>
      <c r="B196" s="6" t="s">
        <v>187</v>
      </c>
      <c r="C196" s="6" t="s">
        <v>1</v>
      </c>
      <c r="D196" s="16" t="s">
        <v>2</v>
      </c>
      <c r="E196" s="16" t="s">
        <v>2</v>
      </c>
      <c r="F196" s="47">
        <f>F197</f>
        <v>177.39999999999998</v>
      </c>
      <c r="G196" s="47">
        <f t="shared" si="90"/>
        <v>759.79999999999973</v>
      </c>
      <c r="H196" s="47">
        <f t="shared" si="90"/>
        <v>6567.9999999999991</v>
      </c>
      <c r="I196" s="4"/>
    </row>
    <row r="197" spans="1:9" ht="31.5" outlineLevel="3" x14ac:dyDescent="0.25">
      <c r="A197" s="10" t="s">
        <v>188</v>
      </c>
      <c r="B197" s="6" t="s">
        <v>189</v>
      </c>
      <c r="C197" s="6" t="s">
        <v>1</v>
      </c>
      <c r="D197" s="16" t="s">
        <v>2</v>
      </c>
      <c r="E197" s="16" t="s">
        <v>2</v>
      </c>
      <c r="F197" s="47">
        <f>F198</f>
        <v>177.39999999999998</v>
      </c>
      <c r="G197" s="47">
        <f t="shared" si="90"/>
        <v>759.79999999999973</v>
      </c>
      <c r="H197" s="47">
        <f t="shared" si="90"/>
        <v>6567.9999999999991</v>
      </c>
      <c r="I197" s="4"/>
    </row>
    <row r="198" spans="1:9" ht="31.5" outlineLevel="4" x14ac:dyDescent="0.25">
      <c r="A198" s="10" t="s">
        <v>190</v>
      </c>
      <c r="B198" s="6" t="s">
        <v>189</v>
      </c>
      <c r="C198" s="6" t="s">
        <v>191</v>
      </c>
      <c r="D198" s="16" t="s">
        <v>13</v>
      </c>
      <c r="E198" s="16" t="s">
        <v>12</v>
      </c>
      <c r="F198" s="47">
        <f>430.9+35-288.5</f>
        <v>177.39999999999998</v>
      </c>
      <c r="G198" s="47">
        <f>3670.6+33.7-2944.5</f>
        <v>759.79999999999973</v>
      </c>
      <c r="H198" s="47">
        <f>8371+19.3-1822.3</f>
        <v>6567.9999999999991</v>
      </c>
      <c r="I198" s="4"/>
    </row>
    <row r="199" spans="1:9" s="13" customFormat="1" ht="47.25" outlineLevel="1" x14ac:dyDescent="0.25">
      <c r="A199" s="28" t="s">
        <v>192</v>
      </c>
      <c r="B199" s="29" t="s">
        <v>193</v>
      </c>
      <c r="C199" s="29" t="s">
        <v>1</v>
      </c>
      <c r="D199" s="30" t="s">
        <v>2</v>
      </c>
      <c r="E199" s="30" t="s">
        <v>2</v>
      </c>
      <c r="F199" s="46">
        <f>F200</f>
        <v>1000</v>
      </c>
      <c r="G199" s="46">
        <f t="shared" ref="G199:H200" si="91">G200</f>
        <v>1000</v>
      </c>
      <c r="H199" s="46">
        <f t="shared" si="91"/>
        <v>1000</v>
      </c>
      <c r="I199" s="12"/>
    </row>
    <row r="200" spans="1:9" ht="63" outlineLevel="2" x14ac:dyDescent="0.25">
      <c r="A200" s="10" t="s">
        <v>194</v>
      </c>
      <c r="B200" s="6" t="s">
        <v>195</v>
      </c>
      <c r="C200" s="6" t="s">
        <v>1</v>
      </c>
      <c r="D200" s="16" t="s">
        <v>2</v>
      </c>
      <c r="E200" s="16" t="s">
        <v>2</v>
      </c>
      <c r="F200" s="47">
        <f>F201</f>
        <v>1000</v>
      </c>
      <c r="G200" s="47">
        <f t="shared" si="91"/>
        <v>1000</v>
      </c>
      <c r="H200" s="47">
        <f t="shared" si="91"/>
        <v>1000</v>
      </c>
      <c r="I200" s="4"/>
    </row>
    <row r="201" spans="1:9" ht="63" outlineLevel="3" x14ac:dyDescent="0.25">
      <c r="A201" s="10" t="s">
        <v>196</v>
      </c>
      <c r="B201" s="6" t="s">
        <v>197</v>
      </c>
      <c r="C201" s="6" t="s">
        <v>1</v>
      </c>
      <c r="D201" s="16" t="s">
        <v>2</v>
      </c>
      <c r="E201" s="16" t="s">
        <v>2</v>
      </c>
      <c r="F201" s="47">
        <f>F203+F204+F202</f>
        <v>1000</v>
      </c>
      <c r="G201" s="47">
        <f t="shared" ref="G201:H201" si="92">G203+G204</f>
        <v>1000</v>
      </c>
      <c r="H201" s="47">
        <f t="shared" si="92"/>
        <v>1000</v>
      </c>
      <c r="I201" s="4"/>
    </row>
    <row r="202" spans="1:9" ht="46.5" customHeight="1" outlineLevel="3" x14ac:dyDescent="0.25">
      <c r="A202" s="10" t="s">
        <v>27</v>
      </c>
      <c r="B202" s="6" t="s">
        <v>197</v>
      </c>
      <c r="C202" s="6" t="s">
        <v>28</v>
      </c>
      <c r="D202" s="16" t="s">
        <v>113</v>
      </c>
      <c r="E202" s="16" t="s">
        <v>12</v>
      </c>
      <c r="F202" s="47">
        <v>792</v>
      </c>
      <c r="G202" s="47">
        <v>0</v>
      </c>
      <c r="H202" s="47">
        <v>0</v>
      </c>
      <c r="I202" s="4"/>
    </row>
    <row r="203" spans="1:9" ht="63" outlineLevel="4" x14ac:dyDescent="0.25">
      <c r="A203" s="10" t="s">
        <v>27</v>
      </c>
      <c r="B203" s="6" t="s">
        <v>197</v>
      </c>
      <c r="C203" s="6" t="s">
        <v>28</v>
      </c>
      <c r="D203" s="16" t="s">
        <v>118</v>
      </c>
      <c r="E203" s="16" t="s">
        <v>12</v>
      </c>
      <c r="F203" s="47">
        <v>208</v>
      </c>
      <c r="G203" s="47">
        <v>0</v>
      </c>
      <c r="H203" s="47">
        <v>0</v>
      </c>
      <c r="I203" s="4"/>
    </row>
    <row r="204" spans="1:9" outlineLevel="4" x14ac:dyDescent="0.25">
      <c r="A204" s="10" t="s">
        <v>19</v>
      </c>
      <c r="B204" s="6" t="s">
        <v>197</v>
      </c>
      <c r="C204" s="6" t="s">
        <v>20</v>
      </c>
      <c r="D204" s="16" t="s">
        <v>12</v>
      </c>
      <c r="E204" s="16" t="s">
        <v>13</v>
      </c>
      <c r="F204" s="47">
        <v>0</v>
      </c>
      <c r="G204" s="47">
        <v>1000</v>
      </c>
      <c r="H204" s="47">
        <v>1000</v>
      </c>
      <c r="I204" s="4"/>
    </row>
    <row r="205" spans="1:9" s="7" customFormat="1" ht="47.25" x14ac:dyDescent="0.25">
      <c r="A205" s="31" t="s">
        <v>198</v>
      </c>
      <c r="B205" s="32" t="s">
        <v>199</v>
      </c>
      <c r="C205" s="32" t="s">
        <v>1</v>
      </c>
      <c r="D205" s="33" t="s">
        <v>2</v>
      </c>
      <c r="E205" s="33" t="s">
        <v>2</v>
      </c>
      <c r="F205" s="48">
        <f>F206+F328+F343</f>
        <v>1398621.4068799997</v>
      </c>
      <c r="G205" s="48">
        <f t="shared" ref="G205:H205" si="93">G206+G328+G343</f>
        <v>1317111.4999999998</v>
      </c>
      <c r="H205" s="48">
        <f t="shared" si="93"/>
        <v>1317582.7</v>
      </c>
      <c r="I205" s="8"/>
    </row>
    <row r="206" spans="1:9" s="13" customFormat="1" ht="47.25" outlineLevel="1" x14ac:dyDescent="0.25">
      <c r="A206" s="28" t="s">
        <v>200</v>
      </c>
      <c r="B206" s="29" t="s">
        <v>201</v>
      </c>
      <c r="C206" s="29" t="s">
        <v>1</v>
      </c>
      <c r="D206" s="30" t="s">
        <v>2</v>
      </c>
      <c r="E206" s="30" t="s">
        <v>2</v>
      </c>
      <c r="F206" s="46">
        <f>F207+F232+F287+F300+F320+F317</f>
        <v>1306231.5068799998</v>
      </c>
      <c r="G206" s="46">
        <f>G207+G232+G287+G300+G320+G323+G317</f>
        <v>1224906.5999999999</v>
      </c>
      <c r="H206" s="46">
        <f>H207+H232+H287+H300+H320+H317</f>
        <v>1225377.8</v>
      </c>
      <c r="I206" s="12"/>
    </row>
    <row r="207" spans="1:9" ht="78.75" outlineLevel="2" x14ac:dyDescent="0.25">
      <c r="A207" s="10" t="s">
        <v>202</v>
      </c>
      <c r="B207" s="6" t="s">
        <v>203</v>
      </c>
      <c r="C207" s="6" t="s">
        <v>1</v>
      </c>
      <c r="D207" s="16" t="s">
        <v>2</v>
      </c>
      <c r="E207" s="16" t="s">
        <v>2</v>
      </c>
      <c r="F207" s="47">
        <f>F208+F210+F214+F216+F219+F222+F224+F226+F228+F230+F212</f>
        <v>569957.9</v>
      </c>
      <c r="G207" s="47">
        <f t="shared" ref="G207:H207" si="94">G208+G210+G214+G216+G219+G222+G224+G226+G228+G230</f>
        <v>566473.1</v>
      </c>
      <c r="H207" s="47">
        <f t="shared" si="94"/>
        <v>564515.69999999995</v>
      </c>
      <c r="I207" s="19"/>
    </row>
    <row r="208" spans="1:9" ht="31.5" outlineLevel="3" x14ac:dyDescent="0.25">
      <c r="A208" s="10" t="s">
        <v>204</v>
      </c>
      <c r="B208" s="6" t="s">
        <v>205</v>
      </c>
      <c r="C208" s="6" t="s">
        <v>1</v>
      </c>
      <c r="D208" s="16" t="s">
        <v>2</v>
      </c>
      <c r="E208" s="16" t="s">
        <v>2</v>
      </c>
      <c r="F208" s="47">
        <f>F209</f>
        <v>2270</v>
      </c>
      <c r="G208" s="47">
        <f t="shared" ref="G208:H208" si="95">G209</f>
        <v>2000</v>
      </c>
      <c r="H208" s="47">
        <f t="shared" si="95"/>
        <v>1626.4</v>
      </c>
      <c r="I208" s="4"/>
    </row>
    <row r="209" spans="1:9" ht="63" outlineLevel="4" x14ac:dyDescent="0.25">
      <c r="A209" s="10" t="s">
        <v>27</v>
      </c>
      <c r="B209" s="6" t="s">
        <v>205</v>
      </c>
      <c r="C209" s="6" t="s">
        <v>28</v>
      </c>
      <c r="D209" s="16" t="s">
        <v>113</v>
      </c>
      <c r="E209" s="16" t="s">
        <v>12</v>
      </c>
      <c r="F209" s="47">
        <f>3062-792</f>
        <v>2270</v>
      </c>
      <c r="G209" s="47">
        <v>2000</v>
      </c>
      <c r="H209" s="47">
        <v>1626.4</v>
      </c>
      <c r="I209" s="4"/>
    </row>
    <row r="210" spans="1:9" ht="31.5" outlineLevel="3" x14ac:dyDescent="0.25">
      <c r="A210" s="10" t="s">
        <v>206</v>
      </c>
      <c r="B210" s="6" t="s">
        <v>207</v>
      </c>
      <c r="C210" s="6" t="s">
        <v>1</v>
      </c>
      <c r="D210" s="16" t="s">
        <v>2</v>
      </c>
      <c r="E210" s="16" t="s">
        <v>2</v>
      </c>
      <c r="F210" s="47">
        <f>F211</f>
        <v>600</v>
      </c>
      <c r="G210" s="47">
        <f t="shared" ref="G210:H210" si="96">G211</f>
        <v>600</v>
      </c>
      <c r="H210" s="47">
        <f t="shared" si="96"/>
        <v>600</v>
      </c>
      <c r="I210" s="4"/>
    </row>
    <row r="211" spans="1:9" ht="63" outlineLevel="4" x14ac:dyDescent="0.25">
      <c r="A211" s="10" t="s">
        <v>27</v>
      </c>
      <c r="B211" s="6" t="s">
        <v>207</v>
      </c>
      <c r="C211" s="6" t="s">
        <v>28</v>
      </c>
      <c r="D211" s="16" t="s">
        <v>113</v>
      </c>
      <c r="E211" s="16" t="s">
        <v>12</v>
      </c>
      <c r="F211" s="47">
        <v>600</v>
      </c>
      <c r="G211" s="47">
        <v>600</v>
      </c>
      <c r="H211" s="47">
        <v>600</v>
      </c>
      <c r="I211" s="4"/>
    </row>
    <row r="212" spans="1:9" ht="63" outlineLevel="4" x14ac:dyDescent="0.25">
      <c r="A212" s="10" t="s">
        <v>633</v>
      </c>
      <c r="B212" s="16" t="s">
        <v>632</v>
      </c>
      <c r="C212" s="6" t="s">
        <v>1</v>
      </c>
      <c r="D212" s="16" t="s">
        <v>2</v>
      </c>
      <c r="E212" s="16" t="s">
        <v>2</v>
      </c>
      <c r="F212" s="47">
        <f>F213</f>
        <v>7980</v>
      </c>
      <c r="G212" s="47">
        <f t="shared" ref="G212:H212" si="97">G213</f>
        <v>0</v>
      </c>
      <c r="H212" s="47">
        <f t="shared" si="97"/>
        <v>0</v>
      </c>
      <c r="I212" s="4"/>
    </row>
    <row r="213" spans="1:9" ht="49.5" customHeight="1" outlineLevel="4" x14ac:dyDescent="0.25">
      <c r="A213" s="10" t="s">
        <v>27</v>
      </c>
      <c r="B213" s="16" t="s">
        <v>632</v>
      </c>
      <c r="C213" s="6" t="s">
        <v>28</v>
      </c>
      <c r="D213" s="16" t="s">
        <v>113</v>
      </c>
      <c r="E213" s="16" t="s">
        <v>12</v>
      </c>
      <c r="F213" s="47">
        <v>7980</v>
      </c>
      <c r="G213" s="47">
        <v>0</v>
      </c>
      <c r="H213" s="47">
        <v>0</v>
      </c>
      <c r="I213" s="4"/>
    </row>
    <row r="214" spans="1:9" ht="47.25" outlineLevel="3" x14ac:dyDescent="0.25">
      <c r="A214" s="10" t="s">
        <v>208</v>
      </c>
      <c r="B214" s="6" t="s">
        <v>209</v>
      </c>
      <c r="C214" s="6" t="s">
        <v>1</v>
      </c>
      <c r="D214" s="16" t="s">
        <v>2</v>
      </c>
      <c r="E214" s="16" t="s">
        <v>2</v>
      </c>
      <c r="F214" s="47">
        <f>F215</f>
        <v>150</v>
      </c>
      <c r="G214" s="47">
        <f t="shared" ref="G214:H214" si="98">G215</f>
        <v>150</v>
      </c>
      <c r="H214" s="47">
        <f t="shared" si="98"/>
        <v>150</v>
      </c>
      <c r="I214" s="4"/>
    </row>
    <row r="215" spans="1:9" ht="31.5" outlineLevel="4" x14ac:dyDescent="0.25">
      <c r="A215" s="10" t="s">
        <v>66</v>
      </c>
      <c r="B215" s="6" t="s">
        <v>209</v>
      </c>
      <c r="C215" s="6" t="s">
        <v>67</v>
      </c>
      <c r="D215" s="16" t="s">
        <v>113</v>
      </c>
      <c r="E215" s="16" t="s">
        <v>12</v>
      </c>
      <c r="F215" s="47">
        <v>150</v>
      </c>
      <c r="G215" s="47">
        <v>150</v>
      </c>
      <c r="H215" s="47">
        <v>150</v>
      </c>
      <c r="I215" s="4"/>
    </row>
    <row r="216" spans="1:9" ht="31.5" outlineLevel="3" x14ac:dyDescent="0.25">
      <c r="A216" s="10" t="s">
        <v>210</v>
      </c>
      <c r="B216" s="6" t="s">
        <v>211</v>
      </c>
      <c r="C216" s="6" t="s">
        <v>1</v>
      </c>
      <c r="D216" s="16" t="s">
        <v>2</v>
      </c>
      <c r="E216" s="16" t="s">
        <v>2</v>
      </c>
      <c r="F216" s="47">
        <f>F217+F218</f>
        <v>1494.5</v>
      </c>
      <c r="G216" s="47">
        <f t="shared" ref="G216:H216" si="99">G217+G218</f>
        <v>1494.5</v>
      </c>
      <c r="H216" s="47">
        <f t="shared" si="99"/>
        <v>1494.5</v>
      </c>
      <c r="I216" s="4"/>
    </row>
    <row r="217" spans="1:9" ht="47.25" outlineLevel="4" x14ac:dyDescent="0.25">
      <c r="A217" s="10" t="s">
        <v>15</v>
      </c>
      <c r="B217" s="6" t="s">
        <v>211</v>
      </c>
      <c r="C217" s="6" t="s">
        <v>16</v>
      </c>
      <c r="D217" s="16" t="s">
        <v>68</v>
      </c>
      <c r="E217" s="16" t="s">
        <v>29</v>
      </c>
      <c r="F217" s="47">
        <v>14.8</v>
      </c>
      <c r="G217" s="47">
        <v>14.8</v>
      </c>
      <c r="H217" s="47">
        <v>14.8</v>
      </c>
      <c r="I217" s="4"/>
    </row>
    <row r="218" spans="1:9" ht="31.5" outlineLevel="4" x14ac:dyDescent="0.25">
      <c r="A218" s="10" t="s">
        <v>66</v>
      </c>
      <c r="B218" s="6" t="s">
        <v>211</v>
      </c>
      <c r="C218" s="6" t="s">
        <v>67</v>
      </c>
      <c r="D218" s="16" t="s">
        <v>68</v>
      </c>
      <c r="E218" s="16" t="s">
        <v>29</v>
      </c>
      <c r="F218" s="47">
        <v>1479.7</v>
      </c>
      <c r="G218" s="47">
        <v>1479.7</v>
      </c>
      <c r="H218" s="47">
        <v>1479.7</v>
      </c>
      <c r="I218" s="4"/>
    </row>
    <row r="219" spans="1:9" ht="78.75" outlineLevel="3" x14ac:dyDescent="0.25">
      <c r="A219" s="10" t="s">
        <v>212</v>
      </c>
      <c r="B219" s="6" t="s">
        <v>213</v>
      </c>
      <c r="C219" s="6" t="s">
        <v>1</v>
      </c>
      <c r="D219" s="16" t="s">
        <v>2</v>
      </c>
      <c r="E219" s="16" t="s">
        <v>2</v>
      </c>
      <c r="F219" s="47">
        <f>F220+F221</f>
        <v>45306.9</v>
      </c>
      <c r="G219" s="47">
        <f t="shared" ref="G219:H219" si="100">G220+G221</f>
        <v>48923.399999999994</v>
      </c>
      <c r="H219" s="47">
        <f t="shared" si="100"/>
        <v>48923.399999999994</v>
      </c>
      <c r="I219" s="4"/>
    </row>
    <row r="220" spans="1:9" ht="47.25" outlineLevel="4" x14ac:dyDescent="0.25">
      <c r="A220" s="10" t="s">
        <v>15</v>
      </c>
      <c r="B220" s="6" t="s">
        <v>213</v>
      </c>
      <c r="C220" s="6" t="s">
        <v>16</v>
      </c>
      <c r="D220" s="16" t="s">
        <v>68</v>
      </c>
      <c r="E220" s="16" t="s">
        <v>44</v>
      </c>
      <c r="F220" s="47">
        <v>448.6</v>
      </c>
      <c r="G220" s="47">
        <v>489.2</v>
      </c>
      <c r="H220" s="47">
        <v>489.2</v>
      </c>
      <c r="I220" s="4"/>
    </row>
    <row r="221" spans="1:9" ht="31.5" outlineLevel="4" x14ac:dyDescent="0.25">
      <c r="A221" s="10" t="s">
        <v>66</v>
      </c>
      <c r="B221" s="6" t="s">
        <v>213</v>
      </c>
      <c r="C221" s="6" t="s">
        <v>67</v>
      </c>
      <c r="D221" s="16" t="s">
        <v>68</v>
      </c>
      <c r="E221" s="16" t="s">
        <v>44</v>
      </c>
      <c r="F221" s="47">
        <v>44858.3</v>
      </c>
      <c r="G221" s="47">
        <v>48434.2</v>
      </c>
      <c r="H221" s="47">
        <v>48434.2</v>
      </c>
      <c r="I221" s="4"/>
    </row>
    <row r="222" spans="1:9" ht="126" outlineLevel="3" x14ac:dyDescent="0.25">
      <c r="A222" s="10" t="s">
        <v>214</v>
      </c>
      <c r="B222" s="6" t="s">
        <v>215</v>
      </c>
      <c r="C222" s="6" t="s">
        <v>1</v>
      </c>
      <c r="D222" s="16" t="s">
        <v>2</v>
      </c>
      <c r="E222" s="16" t="s">
        <v>2</v>
      </c>
      <c r="F222" s="47">
        <f>F223</f>
        <v>900</v>
      </c>
      <c r="G222" s="47">
        <f t="shared" ref="G222:H222" si="101">G223</f>
        <v>900</v>
      </c>
      <c r="H222" s="47">
        <f t="shared" si="101"/>
        <v>900</v>
      </c>
      <c r="I222" s="4"/>
    </row>
    <row r="223" spans="1:9" ht="63" outlineLevel="4" x14ac:dyDescent="0.25">
      <c r="A223" s="10" t="s">
        <v>27</v>
      </c>
      <c r="B223" s="6" t="s">
        <v>215</v>
      </c>
      <c r="C223" s="6" t="s">
        <v>28</v>
      </c>
      <c r="D223" s="16" t="s">
        <v>113</v>
      </c>
      <c r="E223" s="16" t="s">
        <v>12</v>
      </c>
      <c r="F223" s="47">
        <v>900</v>
      </c>
      <c r="G223" s="47">
        <v>900</v>
      </c>
      <c r="H223" s="47">
        <v>900</v>
      </c>
      <c r="I223" s="4"/>
    </row>
    <row r="224" spans="1:9" ht="78.75" outlineLevel="3" x14ac:dyDescent="0.25">
      <c r="A224" s="10" t="s">
        <v>216</v>
      </c>
      <c r="B224" s="6" t="s">
        <v>217</v>
      </c>
      <c r="C224" s="6" t="s">
        <v>1</v>
      </c>
      <c r="D224" s="16" t="s">
        <v>2</v>
      </c>
      <c r="E224" s="16" t="s">
        <v>2</v>
      </c>
      <c r="F224" s="47">
        <f>F225</f>
        <v>0</v>
      </c>
      <c r="G224" s="47">
        <f t="shared" ref="G224:H224" si="102">G225</f>
        <v>1648.4</v>
      </c>
      <c r="H224" s="47">
        <f t="shared" si="102"/>
        <v>0</v>
      </c>
      <c r="I224" s="4"/>
    </row>
    <row r="225" spans="1:9" ht="63" outlineLevel="4" x14ac:dyDescent="0.25">
      <c r="A225" s="10" t="s">
        <v>27</v>
      </c>
      <c r="B225" s="6" t="s">
        <v>217</v>
      </c>
      <c r="C225" s="6" t="s">
        <v>28</v>
      </c>
      <c r="D225" s="16" t="s">
        <v>113</v>
      </c>
      <c r="E225" s="16" t="s">
        <v>12</v>
      </c>
      <c r="F225" s="47">
        <v>0</v>
      </c>
      <c r="G225" s="47">
        <v>1648.4</v>
      </c>
      <c r="H225" s="47">
        <f>2500-2500</f>
        <v>0</v>
      </c>
      <c r="I225" s="4"/>
    </row>
    <row r="226" spans="1:9" ht="157.5" outlineLevel="3" x14ac:dyDescent="0.25">
      <c r="A226" s="10" t="s">
        <v>218</v>
      </c>
      <c r="B226" s="6" t="s">
        <v>219</v>
      </c>
      <c r="C226" s="6" t="s">
        <v>1</v>
      </c>
      <c r="D226" s="16" t="s">
        <v>2</v>
      </c>
      <c r="E226" s="16" t="s">
        <v>2</v>
      </c>
      <c r="F226" s="47">
        <f>F227</f>
        <v>280065</v>
      </c>
      <c r="G226" s="47">
        <f t="shared" ref="G226:H226" si="103">G227</f>
        <v>280901.40000000002</v>
      </c>
      <c r="H226" s="47">
        <f t="shared" si="103"/>
        <v>281035</v>
      </c>
      <c r="I226" s="4"/>
    </row>
    <row r="227" spans="1:9" ht="63" outlineLevel="4" x14ac:dyDescent="0.25">
      <c r="A227" s="10" t="s">
        <v>27</v>
      </c>
      <c r="B227" s="6" t="s">
        <v>219</v>
      </c>
      <c r="C227" s="6" t="s">
        <v>28</v>
      </c>
      <c r="D227" s="16" t="s">
        <v>113</v>
      </c>
      <c r="E227" s="16" t="s">
        <v>12</v>
      </c>
      <c r="F227" s="47">
        <v>280065</v>
      </c>
      <c r="G227" s="47">
        <v>280901.40000000002</v>
      </c>
      <c r="H227" s="47">
        <v>281035</v>
      </c>
      <c r="I227" s="4"/>
    </row>
    <row r="228" spans="1:9" ht="63.75" customHeight="1" outlineLevel="3" x14ac:dyDescent="0.25">
      <c r="A228" s="10" t="s">
        <v>216</v>
      </c>
      <c r="B228" s="6" t="s">
        <v>220</v>
      </c>
      <c r="C228" s="6" t="s">
        <v>1</v>
      </c>
      <c r="D228" s="16" t="s">
        <v>2</v>
      </c>
      <c r="E228" s="16" t="s">
        <v>2</v>
      </c>
      <c r="F228" s="47">
        <f>F229</f>
        <v>0</v>
      </c>
      <c r="G228" s="47">
        <f t="shared" ref="G228:H228" si="104">G229</f>
        <v>246.3</v>
      </c>
      <c r="H228" s="47">
        <f t="shared" si="104"/>
        <v>0</v>
      </c>
      <c r="I228" s="4"/>
    </row>
    <row r="229" spans="1:9" ht="51" customHeight="1" outlineLevel="4" x14ac:dyDescent="0.25">
      <c r="A229" s="10" t="s">
        <v>27</v>
      </c>
      <c r="B229" s="6" t="s">
        <v>220</v>
      </c>
      <c r="C229" s="6" t="s">
        <v>28</v>
      </c>
      <c r="D229" s="16" t="s">
        <v>113</v>
      </c>
      <c r="E229" s="16" t="s">
        <v>12</v>
      </c>
      <c r="F229" s="47">
        <v>0</v>
      </c>
      <c r="G229" s="47">
        <v>246.3</v>
      </c>
      <c r="H229" s="47">
        <f>373.6-373.6</f>
        <v>0</v>
      </c>
      <c r="I229" s="4"/>
    </row>
    <row r="230" spans="1:9" ht="47.25" outlineLevel="3" x14ac:dyDescent="0.25">
      <c r="A230" s="10" t="s">
        <v>221</v>
      </c>
      <c r="B230" s="6" t="s">
        <v>222</v>
      </c>
      <c r="C230" s="6" t="s">
        <v>1</v>
      </c>
      <c r="D230" s="16" t="s">
        <v>2</v>
      </c>
      <c r="E230" s="16" t="s">
        <v>2</v>
      </c>
      <c r="F230" s="47">
        <f>F231</f>
        <v>231191.5</v>
      </c>
      <c r="G230" s="47">
        <f t="shared" ref="G230:H230" si="105">G231</f>
        <v>229609.1</v>
      </c>
      <c r="H230" s="47">
        <f t="shared" si="105"/>
        <v>229786.4</v>
      </c>
      <c r="I230" s="4"/>
    </row>
    <row r="231" spans="1:9" ht="63" outlineLevel="4" x14ac:dyDescent="0.25">
      <c r="A231" s="10" t="s">
        <v>27</v>
      </c>
      <c r="B231" s="6" t="s">
        <v>222</v>
      </c>
      <c r="C231" s="6" t="s">
        <v>28</v>
      </c>
      <c r="D231" s="16" t="s">
        <v>113</v>
      </c>
      <c r="E231" s="16" t="s">
        <v>12</v>
      </c>
      <c r="F231" s="47">
        <f>227842.8+3348.7</f>
        <v>231191.5</v>
      </c>
      <c r="G231" s="47">
        <v>229609.1</v>
      </c>
      <c r="H231" s="47">
        <v>229786.4</v>
      </c>
      <c r="I231" s="4"/>
    </row>
    <row r="232" spans="1:9" ht="78.75" outlineLevel="2" x14ac:dyDescent="0.25">
      <c r="A232" s="10" t="s">
        <v>223</v>
      </c>
      <c r="B232" s="6" t="s">
        <v>224</v>
      </c>
      <c r="C232" s="6" t="s">
        <v>1</v>
      </c>
      <c r="D232" s="16" t="s">
        <v>2</v>
      </c>
      <c r="E232" s="16" t="s">
        <v>2</v>
      </c>
      <c r="F232" s="47">
        <f>F233+F235+F237+F241+F243+F245+F247+F249+F251+F255+F261+F265+F275+F277+F281+F285+F253+F279+F269+F263+F239+F267+F283+F271+F273+F257+F259</f>
        <v>633772.98635999998</v>
      </c>
      <c r="G232" s="47">
        <f t="shared" ref="G232:H232" si="106">G233+G235+G237+G241+G243+G245+G247+G249+G251+G255+G261+G265+G275+G277+G281+G285+G253+G279+G269+G263</f>
        <v>592868.39999999991</v>
      </c>
      <c r="H232" s="47">
        <f t="shared" si="106"/>
        <v>597013.9</v>
      </c>
      <c r="I232" s="4"/>
    </row>
    <row r="233" spans="1:9" ht="78.75" outlineLevel="3" x14ac:dyDescent="0.25">
      <c r="A233" s="10" t="s">
        <v>225</v>
      </c>
      <c r="B233" s="6" t="s">
        <v>226</v>
      </c>
      <c r="C233" s="6" t="s">
        <v>1</v>
      </c>
      <c r="D233" s="16" t="s">
        <v>2</v>
      </c>
      <c r="E233" s="16" t="s">
        <v>2</v>
      </c>
      <c r="F233" s="47">
        <f>F234</f>
        <v>30</v>
      </c>
      <c r="G233" s="47">
        <f t="shared" ref="G233:H233" si="107">G234</f>
        <v>30</v>
      </c>
      <c r="H233" s="47">
        <f t="shared" si="107"/>
        <v>15.05</v>
      </c>
      <c r="I233" s="4"/>
    </row>
    <row r="234" spans="1:9" ht="63" outlineLevel="4" x14ac:dyDescent="0.25">
      <c r="A234" s="10" t="s">
        <v>27</v>
      </c>
      <c r="B234" s="6" t="s">
        <v>226</v>
      </c>
      <c r="C234" s="6" t="s">
        <v>28</v>
      </c>
      <c r="D234" s="16" t="s">
        <v>113</v>
      </c>
      <c r="E234" s="16" t="s">
        <v>53</v>
      </c>
      <c r="F234" s="47">
        <v>30</v>
      </c>
      <c r="G234" s="47">
        <v>30</v>
      </c>
      <c r="H234" s="47">
        <f>30-14.95</f>
        <v>15.05</v>
      </c>
      <c r="I234" s="4"/>
    </row>
    <row r="235" spans="1:9" ht="31.5" outlineLevel="3" x14ac:dyDescent="0.25">
      <c r="A235" s="10" t="s">
        <v>227</v>
      </c>
      <c r="B235" s="6" t="s">
        <v>228</v>
      </c>
      <c r="C235" s="6" t="s">
        <v>1</v>
      </c>
      <c r="D235" s="16" t="s">
        <v>2</v>
      </c>
      <c r="E235" s="16" t="s">
        <v>2</v>
      </c>
      <c r="F235" s="47">
        <f>F236</f>
        <v>2546.6643599999998</v>
      </c>
      <c r="G235" s="47">
        <f t="shared" ref="G235:H235" si="108">G236</f>
        <v>1648.7</v>
      </c>
      <c r="H235" s="47">
        <f t="shared" si="108"/>
        <v>1648.7</v>
      </c>
      <c r="I235" s="4"/>
    </row>
    <row r="236" spans="1:9" ht="63" outlineLevel="4" x14ac:dyDescent="0.25">
      <c r="A236" s="10" t="s">
        <v>27</v>
      </c>
      <c r="B236" s="6" t="s">
        <v>228</v>
      </c>
      <c r="C236" s="6" t="s">
        <v>28</v>
      </c>
      <c r="D236" s="16" t="s">
        <v>113</v>
      </c>
      <c r="E236" s="16" t="s">
        <v>53</v>
      </c>
      <c r="F236" s="47">
        <f>3529.7-747.1-235.93564</f>
        <v>2546.6643599999998</v>
      </c>
      <c r="G236" s="47">
        <v>1648.7</v>
      </c>
      <c r="H236" s="47">
        <v>1648.7</v>
      </c>
      <c r="I236" s="4"/>
    </row>
    <row r="237" spans="1:9" ht="31.5" outlineLevel="3" x14ac:dyDescent="0.25">
      <c r="A237" s="10" t="s">
        <v>206</v>
      </c>
      <c r="B237" s="6" t="s">
        <v>229</v>
      </c>
      <c r="C237" s="6" t="s">
        <v>1</v>
      </c>
      <c r="D237" s="16" t="s">
        <v>2</v>
      </c>
      <c r="E237" s="16" t="s">
        <v>2</v>
      </c>
      <c r="F237" s="47">
        <f>F238</f>
        <v>600</v>
      </c>
      <c r="G237" s="47">
        <f t="shared" ref="G237:H237" si="109">G238</f>
        <v>600</v>
      </c>
      <c r="H237" s="47">
        <f t="shared" si="109"/>
        <v>600</v>
      </c>
      <c r="I237" s="4"/>
    </row>
    <row r="238" spans="1:9" ht="63" outlineLevel="4" x14ac:dyDescent="0.25">
      <c r="A238" s="10" t="s">
        <v>27</v>
      </c>
      <c r="B238" s="6" t="s">
        <v>229</v>
      </c>
      <c r="C238" s="6" t="s">
        <v>28</v>
      </c>
      <c r="D238" s="16" t="s">
        <v>113</v>
      </c>
      <c r="E238" s="16" t="s">
        <v>53</v>
      </c>
      <c r="F238" s="47">
        <v>600</v>
      </c>
      <c r="G238" s="47">
        <v>600</v>
      </c>
      <c r="H238" s="47">
        <v>600</v>
      </c>
      <c r="I238" s="4"/>
    </row>
    <row r="239" spans="1:9" ht="63" outlineLevel="4" x14ac:dyDescent="0.25">
      <c r="A239" s="10" t="s">
        <v>633</v>
      </c>
      <c r="B239" s="16" t="s">
        <v>634</v>
      </c>
      <c r="C239" s="6" t="s">
        <v>1</v>
      </c>
      <c r="D239" s="16" t="s">
        <v>2</v>
      </c>
      <c r="E239" s="16" t="s">
        <v>2</v>
      </c>
      <c r="F239" s="47">
        <f>F240</f>
        <v>11586</v>
      </c>
      <c r="G239" s="47">
        <f t="shared" ref="G239:H239" si="110">G240</f>
        <v>0</v>
      </c>
      <c r="H239" s="47">
        <f t="shared" si="110"/>
        <v>0</v>
      </c>
      <c r="I239" s="4"/>
    </row>
    <row r="240" spans="1:9" ht="50.25" customHeight="1" outlineLevel="4" x14ac:dyDescent="0.25">
      <c r="A240" s="10" t="s">
        <v>27</v>
      </c>
      <c r="B240" s="16" t="s">
        <v>634</v>
      </c>
      <c r="C240" s="6" t="s">
        <v>28</v>
      </c>
      <c r="D240" s="16" t="s">
        <v>113</v>
      </c>
      <c r="E240" s="16" t="s">
        <v>53</v>
      </c>
      <c r="F240" s="47">
        <v>11586</v>
      </c>
      <c r="G240" s="47">
        <v>0</v>
      </c>
      <c r="H240" s="47">
        <v>0</v>
      </c>
      <c r="I240" s="4"/>
    </row>
    <row r="241" spans="1:9" ht="47.25" outlineLevel="3" x14ac:dyDescent="0.25">
      <c r="A241" s="10" t="s">
        <v>230</v>
      </c>
      <c r="B241" s="6" t="s">
        <v>231</v>
      </c>
      <c r="C241" s="6" t="s">
        <v>1</v>
      </c>
      <c r="D241" s="16" t="s">
        <v>2</v>
      </c>
      <c r="E241" s="16" t="s">
        <v>2</v>
      </c>
      <c r="F241" s="47">
        <f>F242</f>
        <v>200</v>
      </c>
      <c r="G241" s="47">
        <f t="shared" ref="G241:H241" si="111">G242</f>
        <v>200</v>
      </c>
      <c r="H241" s="47">
        <f t="shared" si="111"/>
        <v>200</v>
      </c>
      <c r="I241" s="4"/>
    </row>
    <row r="242" spans="1:9" ht="31.5" outlineLevel="4" x14ac:dyDescent="0.25">
      <c r="A242" s="10" t="s">
        <v>66</v>
      </c>
      <c r="B242" s="6" t="s">
        <v>231</v>
      </c>
      <c r="C242" s="6" t="s">
        <v>67</v>
      </c>
      <c r="D242" s="16" t="s">
        <v>113</v>
      </c>
      <c r="E242" s="16" t="s">
        <v>53</v>
      </c>
      <c r="F242" s="47">
        <v>200</v>
      </c>
      <c r="G242" s="47">
        <v>200</v>
      </c>
      <c r="H242" s="47">
        <v>200</v>
      </c>
      <c r="I242" s="4"/>
    </row>
    <row r="243" spans="1:9" ht="31.5" outlineLevel="3" x14ac:dyDescent="0.25">
      <c r="A243" s="10" t="s">
        <v>232</v>
      </c>
      <c r="B243" s="6" t="s">
        <v>233</v>
      </c>
      <c r="C243" s="6" t="s">
        <v>1</v>
      </c>
      <c r="D243" s="16" t="s">
        <v>2</v>
      </c>
      <c r="E243" s="16" t="s">
        <v>2</v>
      </c>
      <c r="F243" s="47">
        <f>F244</f>
        <v>100</v>
      </c>
      <c r="G243" s="47">
        <f t="shared" ref="G243:H243" si="112">G244</f>
        <v>100</v>
      </c>
      <c r="H243" s="47">
        <f t="shared" si="112"/>
        <v>100</v>
      </c>
      <c r="I243" s="4"/>
    </row>
    <row r="244" spans="1:9" ht="31.5" outlineLevel="4" x14ac:dyDescent="0.25">
      <c r="A244" s="10" t="s">
        <v>66</v>
      </c>
      <c r="B244" s="6" t="s">
        <v>233</v>
      </c>
      <c r="C244" s="6" t="s">
        <v>67</v>
      </c>
      <c r="D244" s="16" t="s">
        <v>113</v>
      </c>
      <c r="E244" s="16" t="s">
        <v>53</v>
      </c>
      <c r="F244" s="47">
        <v>100</v>
      </c>
      <c r="G244" s="47">
        <v>100</v>
      </c>
      <c r="H244" s="47">
        <v>100</v>
      </c>
      <c r="I244" s="4"/>
    </row>
    <row r="245" spans="1:9" ht="63" outlineLevel="3" x14ac:dyDescent="0.25">
      <c r="A245" s="10" t="s">
        <v>234</v>
      </c>
      <c r="B245" s="6" t="s">
        <v>235</v>
      </c>
      <c r="C245" s="6" t="s">
        <v>1</v>
      </c>
      <c r="D245" s="16" t="s">
        <v>2</v>
      </c>
      <c r="E245" s="16" t="s">
        <v>2</v>
      </c>
      <c r="F245" s="47">
        <f>F246</f>
        <v>200</v>
      </c>
      <c r="G245" s="47">
        <f t="shared" ref="G245:H245" si="113">G246</f>
        <v>200</v>
      </c>
      <c r="H245" s="47">
        <f t="shared" si="113"/>
        <v>200</v>
      </c>
      <c r="I245" s="4"/>
    </row>
    <row r="246" spans="1:9" ht="31.5" outlineLevel="4" x14ac:dyDescent="0.25">
      <c r="A246" s="10" t="s">
        <v>66</v>
      </c>
      <c r="B246" s="6" t="s">
        <v>235</v>
      </c>
      <c r="C246" s="6" t="s">
        <v>67</v>
      </c>
      <c r="D246" s="16" t="s">
        <v>113</v>
      </c>
      <c r="E246" s="16" t="s">
        <v>53</v>
      </c>
      <c r="F246" s="47">
        <v>200</v>
      </c>
      <c r="G246" s="47">
        <v>200</v>
      </c>
      <c r="H246" s="47">
        <v>200</v>
      </c>
      <c r="I246" s="4"/>
    </row>
    <row r="247" spans="1:9" ht="78.75" outlineLevel="3" x14ac:dyDescent="0.25">
      <c r="A247" s="10" t="s">
        <v>236</v>
      </c>
      <c r="B247" s="6" t="s">
        <v>237</v>
      </c>
      <c r="C247" s="6" t="s">
        <v>1</v>
      </c>
      <c r="D247" s="16" t="s">
        <v>2</v>
      </c>
      <c r="E247" s="16" t="s">
        <v>2</v>
      </c>
      <c r="F247" s="47">
        <f>F248</f>
        <v>34607.199999999997</v>
      </c>
      <c r="G247" s="47">
        <f t="shared" ref="G247:H247" si="114">G248</f>
        <v>34607.199999999997</v>
      </c>
      <c r="H247" s="47">
        <f t="shared" si="114"/>
        <v>34607.199999999997</v>
      </c>
      <c r="I247" s="4"/>
    </row>
    <row r="248" spans="1:9" ht="63" outlineLevel="4" x14ac:dyDescent="0.25">
      <c r="A248" s="10" t="s">
        <v>27</v>
      </c>
      <c r="B248" s="6" t="s">
        <v>237</v>
      </c>
      <c r="C248" s="6" t="s">
        <v>28</v>
      </c>
      <c r="D248" s="16" t="s">
        <v>113</v>
      </c>
      <c r="E248" s="16" t="s">
        <v>53</v>
      </c>
      <c r="F248" s="47">
        <v>34607.199999999997</v>
      </c>
      <c r="G248" s="47">
        <v>34607.199999999997</v>
      </c>
      <c r="H248" s="47">
        <v>34607.199999999997</v>
      </c>
      <c r="I248" s="4"/>
    </row>
    <row r="249" spans="1:9" ht="126" outlineLevel="3" x14ac:dyDescent="0.25">
      <c r="A249" s="10" t="s">
        <v>214</v>
      </c>
      <c r="B249" s="6" t="s">
        <v>238</v>
      </c>
      <c r="C249" s="6" t="s">
        <v>1</v>
      </c>
      <c r="D249" s="16" t="s">
        <v>2</v>
      </c>
      <c r="E249" s="16" t="s">
        <v>2</v>
      </c>
      <c r="F249" s="47">
        <f>F250</f>
        <v>1000</v>
      </c>
      <c r="G249" s="47">
        <f t="shared" ref="G249:H249" si="115">G250</f>
        <v>1000</v>
      </c>
      <c r="H249" s="47">
        <f t="shared" si="115"/>
        <v>1000</v>
      </c>
      <c r="I249" s="4"/>
    </row>
    <row r="250" spans="1:9" ht="63" outlineLevel="4" x14ac:dyDescent="0.25">
      <c r="A250" s="10" t="s">
        <v>27</v>
      </c>
      <c r="B250" s="6" t="s">
        <v>238</v>
      </c>
      <c r="C250" s="6" t="s">
        <v>28</v>
      </c>
      <c r="D250" s="16" t="s">
        <v>113</v>
      </c>
      <c r="E250" s="16" t="s">
        <v>53</v>
      </c>
      <c r="F250" s="47">
        <v>1000</v>
      </c>
      <c r="G250" s="47">
        <v>1000</v>
      </c>
      <c r="H250" s="47">
        <v>1000</v>
      </c>
      <c r="I250" s="4"/>
    </row>
    <row r="251" spans="1:9" ht="94.5" outlineLevel="3" x14ac:dyDescent="0.25">
      <c r="A251" s="10" t="s">
        <v>239</v>
      </c>
      <c r="B251" s="6" t="s">
        <v>240</v>
      </c>
      <c r="C251" s="6" t="s">
        <v>1</v>
      </c>
      <c r="D251" s="16" t="s">
        <v>2</v>
      </c>
      <c r="E251" s="16" t="s">
        <v>2</v>
      </c>
      <c r="F251" s="47">
        <f>F252</f>
        <v>1827</v>
      </c>
      <c r="G251" s="47">
        <f t="shared" ref="G251:H251" si="116">G252</f>
        <v>0</v>
      </c>
      <c r="H251" s="47">
        <f t="shared" si="116"/>
        <v>0</v>
      </c>
      <c r="I251" s="4"/>
    </row>
    <row r="252" spans="1:9" ht="63" outlineLevel="4" x14ac:dyDescent="0.25">
      <c r="A252" s="10" t="s">
        <v>27</v>
      </c>
      <c r="B252" s="6" t="s">
        <v>240</v>
      </c>
      <c r="C252" s="6" t="s">
        <v>28</v>
      </c>
      <c r="D252" s="16" t="s">
        <v>113</v>
      </c>
      <c r="E252" s="16" t="s">
        <v>53</v>
      </c>
      <c r="F252" s="47">
        <v>1827</v>
      </c>
      <c r="G252" s="47">
        <v>0</v>
      </c>
      <c r="H252" s="47">
        <v>0</v>
      </c>
      <c r="I252" s="4"/>
    </row>
    <row r="253" spans="1:9" ht="67.5" customHeight="1" outlineLevel="4" x14ac:dyDescent="0.25">
      <c r="A253" s="10" t="s">
        <v>216</v>
      </c>
      <c r="B253" s="16" t="s">
        <v>609</v>
      </c>
      <c r="C253" s="6" t="s">
        <v>1</v>
      </c>
      <c r="D253" s="16" t="s">
        <v>2</v>
      </c>
      <c r="E253" s="16" t="s">
        <v>2</v>
      </c>
      <c r="F253" s="47">
        <f>F254</f>
        <v>0</v>
      </c>
      <c r="G253" s="47">
        <f t="shared" ref="G253:H253" si="117">G254</f>
        <v>0</v>
      </c>
      <c r="H253" s="47">
        <f t="shared" si="117"/>
        <v>2500</v>
      </c>
      <c r="I253" s="4"/>
    </row>
    <row r="254" spans="1:9" ht="51" customHeight="1" outlineLevel="4" x14ac:dyDescent="0.25">
      <c r="A254" s="10" t="s">
        <v>27</v>
      </c>
      <c r="B254" s="16" t="s">
        <v>609</v>
      </c>
      <c r="C254" s="6" t="s">
        <v>28</v>
      </c>
      <c r="D254" s="16" t="s">
        <v>113</v>
      </c>
      <c r="E254" s="16" t="s">
        <v>53</v>
      </c>
      <c r="F254" s="47">
        <v>0</v>
      </c>
      <c r="G254" s="47">
        <v>0</v>
      </c>
      <c r="H254" s="47">
        <v>2500</v>
      </c>
      <c r="I254" s="4"/>
    </row>
    <row r="255" spans="1:9" ht="126" outlineLevel="3" x14ac:dyDescent="0.25">
      <c r="A255" s="10" t="s">
        <v>241</v>
      </c>
      <c r="B255" s="6" t="s">
        <v>242</v>
      </c>
      <c r="C255" s="6" t="s">
        <v>1</v>
      </c>
      <c r="D255" s="16" t="s">
        <v>2</v>
      </c>
      <c r="E255" s="16" t="s">
        <v>2</v>
      </c>
      <c r="F255" s="47">
        <f>F256</f>
        <v>584</v>
      </c>
      <c r="G255" s="47">
        <f t="shared" ref="G255:H255" si="118">G256</f>
        <v>594</v>
      </c>
      <c r="H255" s="47">
        <f t="shared" si="118"/>
        <v>594</v>
      </c>
      <c r="I255" s="4"/>
    </row>
    <row r="256" spans="1:9" ht="63" outlineLevel="4" x14ac:dyDescent="0.25">
      <c r="A256" s="10" t="s">
        <v>27</v>
      </c>
      <c r="B256" s="6" t="s">
        <v>242</v>
      </c>
      <c r="C256" s="6" t="s">
        <v>28</v>
      </c>
      <c r="D256" s="16" t="s">
        <v>113</v>
      </c>
      <c r="E256" s="16" t="s">
        <v>53</v>
      </c>
      <c r="F256" s="47">
        <v>584</v>
      </c>
      <c r="G256" s="47">
        <v>594</v>
      </c>
      <c r="H256" s="47">
        <v>594</v>
      </c>
      <c r="I256" s="4"/>
    </row>
    <row r="257" spans="1:9" ht="96" customHeight="1" outlineLevel="4" x14ac:dyDescent="0.25">
      <c r="A257" s="41" t="s">
        <v>674</v>
      </c>
      <c r="B257" s="40" t="s">
        <v>672</v>
      </c>
      <c r="C257" s="16" t="s">
        <v>1</v>
      </c>
      <c r="D257" s="16" t="s">
        <v>2</v>
      </c>
      <c r="E257" s="16" t="s">
        <v>2</v>
      </c>
      <c r="F257" s="47">
        <f>F258</f>
        <v>500</v>
      </c>
      <c r="G257" s="47">
        <f t="shared" ref="G257:H257" si="119">G258</f>
        <v>0</v>
      </c>
      <c r="H257" s="47">
        <f t="shared" si="119"/>
        <v>0</v>
      </c>
      <c r="I257" s="4"/>
    </row>
    <row r="258" spans="1:9" ht="50.25" customHeight="1" outlineLevel="4" x14ac:dyDescent="0.25">
      <c r="A258" s="10" t="s">
        <v>27</v>
      </c>
      <c r="B258" s="16" t="s">
        <v>672</v>
      </c>
      <c r="C258" s="16" t="s">
        <v>28</v>
      </c>
      <c r="D258" s="16" t="s">
        <v>113</v>
      </c>
      <c r="E258" s="16" t="s">
        <v>53</v>
      </c>
      <c r="F258" s="47">
        <v>500</v>
      </c>
      <c r="G258" s="47">
        <v>0</v>
      </c>
      <c r="H258" s="47">
        <v>0</v>
      </c>
      <c r="I258" s="4"/>
    </row>
    <row r="259" spans="1:9" ht="82.5" customHeight="1" outlineLevel="4" x14ac:dyDescent="0.25">
      <c r="A259" s="41" t="s">
        <v>675</v>
      </c>
      <c r="B259" s="40" t="s">
        <v>673</v>
      </c>
      <c r="C259" s="16" t="s">
        <v>1</v>
      </c>
      <c r="D259" s="16" t="s">
        <v>2</v>
      </c>
      <c r="E259" s="16" t="s">
        <v>2</v>
      </c>
      <c r="F259" s="47">
        <f>F260</f>
        <v>150</v>
      </c>
      <c r="G259" s="47">
        <f t="shared" ref="G259:H259" si="120">G260</f>
        <v>0</v>
      </c>
      <c r="H259" s="47">
        <f t="shared" si="120"/>
        <v>0</v>
      </c>
      <c r="I259" s="4"/>
    </row>
    <row r="260" spans="1:9" ht="31.5" outlineLevel="4" x14ac:dyDescent="0.25">
      <c r="A260" s="10" t="s">
        <v>66</v>
      </c>
      <c r="B260" s="16" t="s">
        <v>673</v>
      </c>
      <c r="C260" s="16" t="s">
        <v>67</v>
      </c>
      <c r="D260" s="16" t="s">
        <v>113</v>
      </c>
      <c r="E260" s="16" t="s">
        <v>53</v>
      </c>
      <c r="F260" s="47">
        <v>150</v>
      </c>
      <c r="G260" s="47">
        <v>0</v>
      </c>
      <c r="H260" s="47">
        <v>0</v>
      </c>
      <c r="I260" s="4"/>
    </row>
    <row r="261" spans="1:9" ht="47.25" outlineLevel="3" x14ac:dyDescent="0.25">
      <c r="A261" s="10" t="s">
        <v>243</v>
      </c>
      <c r="B261" s="6" t="s">
        <v>244</v>
      </c>
      <c r="C261" s="6" t="s">
        <v>1</v>
      </c>
      <c r="D261" s="16" t="s">
        <v>2</v>
      </c>
      <c r="E261" s="16" t="s">
        <v>2</v>
      </c>
      <c r="F261" s="47">
        <f>F262</f>
        <v>0</v>
      </c>
      <c r="G261" s="47">
        <f t="shared" ref="G261:H263" si="121">G262</f>
        <v>0</v>
      </c>
      <c r="H261" s="47">
        <f t="shared" si="121"/>
        <v>100</v>
      </c>
      <c r="I261" s="4"/>
    </row>
    <row r="262" spans="1:9" ht="63" outlineLevel="4" x14ac:dyDescent="0.25">
      <c r="A262" s="10" t="s">
        <v>27</v>
      </c>
      <c r="B262" s="6" t="s">
        <v>244</v>
      </c>
      <c r="C262" s="6" t="s">
        <v>28</v>
      </c>
      <c r="D262" s="16" t="s">
        <v>29</v>
      </c>
      <c r="E262" s="16" t="s">
        <v>493</v>
      </c>
      <c r="F262" s="47">
        <v>0</v>
      </c>
      <c r="G262" s="47">
        <v>0</v>
      </c>
      <c r="H262" s="47">
        <v>100</v>
      </c>
      <c r="I262" s="4"/>
    </row>
    <row r="263" spans="1:9" ht="47.25" outlineLevel="4" x14ac:dyDescent="0.25">
      <c r="A263" s="10" t="s">
        <v>243</v>
      </c>
      <c r="B263" s="6" t="s">
        <v>618</v>
      </c>
      <c r="C263" s="6" t="s">
        <v>1</v>
      </c>
      <c r="D263" s="16" t="s">
        <v>2</v>
      </c>
      <c r="E263" s="16" t="s">
        <v>2</v>
      </c>
      <c r="F263" s="47">
        <f>F264</f>
        <v>0</v>
      </c>
      <c r="G263" s="47">
        <f t="shared" si="121"/>
        <v>0</v>
      </c>
      <c r="H263" s="47">
        <f t="shared" si="121"/>
        <v>14.95</v>
      </c>
      <c r="I263" s="4"/>
    </row>
    <row r="264" spans="1:9" ht="63" outlineLevel="4" x14ac:dyDescent="0.25">
      <c r="A264" s="10" t="s">
        <v>27</v>
      </c>
      <c r="B264" s="6" t="s">
        <v>618</v>
      </c>
      <c r="C264" s="6" t="s">
        <v>28</v>
      </c>
      <c r="D264" s="16" t="s">
        <v>29</v>
      </c>
      <c r="E264" s="16" t="s">
        <v>493</v>
      </c>
      <c r="F264" s="47">
        <v>0</v>
      </c>
      <c r="G264" s="47">
        <v>0</v>
      </c>
      <c r="H264" s="47">
        <v>14.95</v>
      </c>
      <c r="I264" s="4"/>
    </row>
    <row r="265" spans="1:9" ht="157.5" outlineLevel="3" x14ac:dyDescent="0.25">
      <c r="A265" s="10" t="s">
        <v>218</v>
      </c>
      <c r="B265" s="6" t="s">
        <v>245</v>
      </c>
      <c r="C265" s="6" t="s">
        <v>1</v>
      </c>
      <c r="D265" s="16" t="s">
        <v>2</v>
      </c>
      <c r="E265" s="16" t="s">
        <v>2</v>
      </c>
      <c r="F265" s="47">
        <f>F266</f>
        <v>437207</v>
      </c>
      <c r="G265" s="47">
        <f t="shared" ref="G265:H265" si="122">G266</f>
        <v>430969.8</v>
      </c>
      <c r="H265" s="47">
        <f t="shared" si="122"/>
        <v>431167.1</v>
      </c>
      <c r="I265" s="4"/>
    </row>
    <row r="266" spans="1:9" ht="63" outlineLevel="4" x14ac:dyDescent="0.25">
      <c r="A266" s="10" t="s">
        <v>27</v>
      </c>
      <c r="B266" s="6" t="s">
        <v>245</v>
      </c>
      <c r="C266" s="6" t="s">
        <v>28</v>
      </c>
      <c r="D266" s="16" t="s">
        <v>113</v>
      </c>
      <c r="E266" s="16" t="s">
        <v>53</v>
      </c>
      <c r="F266" s="47">
        <v>437207</v>
      </c>
      <c r="G266" s="47">
        <v>430969.8</v>
      </c>
      <c r="H266" s="47">
        <v>431167.1</v>
      </c>
      <c r="I266" s="4"/>
    </row>
    <row r="267" spans="1:9" ht="69" customHeight="1" outlineLevel="4" x14ac:dyDescent="0.25">
      <c r="A267" s="41" t="s">
        <v>655</v>
      </c>
      <c r="B267" s="40" t="s">
        <v>654</v>
      </c>
      <c r="C267" s="6" t="s">
        <v>1</v>
      </c>
      <c r="D267" s="16" t="s">
        <v>2</v>
      </c>
      <c r="E267" s="16" t="s">
        <v>2</v>
      </c>
      <c r="F267" s="47">
        <f>F268</f>
        <v>5000</v>
      </c>
      <c r="G267" s="47">
        <f t="shared" ref="G267:H267" si="123">G268</f>
        <v>0</v>
      </c>
      <c r="H267" s="47">
        <f t="shared" si="123"/>
        <v>0</v>
      </c>
      <c r="I267" s="4"/>
    </row>
    <row r="268" spans="1:9" ht="51.75" customHeight="1" outlineLevel="4" x14ac:dyDescent="0.25">
      <c r="A268" s="10" t="s">
        <v>27</v>
      </c>
      <c r="B268" s="16" t="s">
        <v>654</v>
      </c>
      <c r="C268" s="6" t="s">
        <v>28</v>
      </c>
      <c r="D268" s="16" t="s">
        <v>113</v>
      </c>
      <c r="E268" s="16" t="s">
        <v>53</v>
      </c>
      <c r="F268" s="47">
        <v>5000</v>
      </c>
      <c r="G268" s="47">
        <v>0</v>
      </c>
      <c r="H268" s="47">
        <v>0</v>
      </c>
      <c r="I268" s="4"/>
    </row>
    <row r="269" spans="1:9" ht="94.5" outlineLevel="4" x14ac:dyDescent="0.25">
      <c r="A269" s="41" t="s">
        <v>616</v>
      </c>
      <c r="B269" s="40" t="s">
        <v>617</v>
      </c>
      <c r="C269" s="6" t="s">
        <v>1</v>
      </c>
      <c r="D269" s="16" t="s">
        <v>2</v>
      </c>
      <c r="E269" s="16" t="s">
        <v>2</v>
      </c>
      <c r="F269" s="47">
        <f>F270</f>
        <v>510.3</v>
      </c>
      <c r="G269" s="47">
        <f t="shared" ref="G269:H269" si="124">G270</f>
        <v>0</v>
      </c>
      <c r="H269" s="47">
        <f t="shared" si="124"/>
        <v>0</v>
      </c>
      <c r="I269" s="4"/>
    </row>
    <row r="270" spans="1:9" ht="49.5" customHeight="1" outlineLevel="4" x14ac:dyDescent="0.25">
      <c r="A270" s="10" t="s">
        <v>27</v>
      </c>
      <c r="B270" s="16" t="s">
        <v>617</v>
      </c>
      <c r="C270" s="6" t="s">
        <v>28</v>
      </c>
      <c r="D270" s="16" t="s">
        <v>113</v>
      </c>
      <c r="E270" s="16" t="s">
        <v>53</v>
      </c>
      <c r="F270" s="47">
        <v>510.3</v>
      </c>
      <c r="G270" s="47">
        <v>0</v>
      </c>
      <c r="H270" s="47">
        <v>0</v>
      </c>
      <c r="I270" s="4"/>
    </row>
    <row r="271" spans="1:9" ht="129.75" customHeight="1" outlineLevel="4" x14ac:dyDescent="0.25">
      <c r="A271" s="41" t="s">
        <v>670</v>
      </c>
      <c r="B271" s="42" t="s">
        <v>668</v>
      </c>
      <c r="C271" s="6" t="s">
        <v>1</v>
      </c>
      <c r="D271" s="16" t="s">
        <v>2</v>
      </c>
      <c r="E271" s="16" t="s">
        <v>2</v>
      </c>
      <c r="F271" s="47">
        <f>F272</f>
        <v>5687.69</v>
      </c>
      <c r="G271" s="47">
        <f t="shared" ref="G271:H271" si="125">G272</f>
        <v>0</v>
      </c>
      <c r="H271" s="47">
        <f t="shared" si="125"/>
        <v>0</v>
      </c>
      <c r="I271" s="4"/>
    </row>
    <row r="272" spans="1:9" ht="49.5" customHeight="1" outlineLevel="4" x14ac:dyDescent="0.25">
      <c r="A272" s="10" t="s">
        <v>27</v>
      </c>
      <c r="B272" s="6" t="s">
        <v>668</v>
      </c>
      <c r="C272" s="6" t="s">
        <v>28</v>
      </c>
      <c r="D272" s="16" t="s">
        <v>113</v>
      </c>
      <c r="E272" s="16" t="s">
        <v>53</v>
      </c>
      <c r="F272" s="47">
        <f>5536.25678+151.43322</f>
        <v>5687.69</v>
      </c>
      <c r="G272" s="47">
        <v>0</v>
      </c>
      <c r="H272" s="47">
        <v>0</v>
      </c>
      <c r="I272" s="4"/>
    </row>
    <row r="273" spans="1:9" ht="129.75" customHeight="1" outlineLevel="4" x14ac:dyDescent="0.25">
      <c r="A273" s="41" t="s">
        <v>671</v>
      </c>
      <c r="B273" s="42" t="s">
        <v>669</v>
      </c>
      <c r="C273" s="6" t="s">
        <v>1</v>
      </c>
      <c r="D273" s="16" t="s">
        <v>2</v>
      </c>
      <c r="E273" s="16" t="s">
        <v>2</v>
      </c>
      <c r="F273" s="47">
        <f>F274</f>
        <v>3173.8319999999999</v>
      </c>
      <c r="G273" s="47">
        <f t="shared" ref="G273:H273" si="126">G274</f>
        <v>0</v>
      </c>
      <c r="H273" s="47">
        <f t="shared" si="126"/>
        <v>0</v>
      </c>
      <c r="I273" s="4"/>
    </row>
    <row r="274" spans="1:9" ht="49.5" customHeight="1" outlineLevel="4" x14ac:dyDescent="0.25">
      <c r="A274" s="10" t="s">
        <v>27</v>
      </c>
      <c r="B274" s="6" t="s">
        <v>669</v>
      </c>
      <c r="C274" s="6" t="s">
        <v>28</v>
      </c>
      <c r="D274" s="16" t="s">
        <v>113</v>
      </c>
      <c r="E274" s="16" t="s">
        <v>53</v>
      </c>
      <c r="F274" s="47">
        <f>3089.32958+84.50242</f>
        <v>3173.8319999999999</v>
      </c>
      <c r="G274" s="47">
        <v>0</v>
      </c>
      <c r="H274" s="47">
        <v>0</v>
      </c>
      <c r="I274" s="4"/>
    </row>
    <row r="275" spans="1:9" ht="78.75" outlineLevel="3" x14ac:dyDescent="0.25">
      <c r="A275" s="10" t="s">
        <v>246</v>
      </c>
      <c r="B275" s="6" t="s">
        <v>247</v>
      </c>
      <c r="C275" s="6" t="s">
        <v>1</v>
      </c>
      <c r="D275" s="16" t="s">
        <v>2</v>
      </c>
      <c r="E275" s="16" t="s">
        <v>2</v>
      </c>
      <c r="F275" s="47">
        <f>F276</f>
        <v>50287.7</v>
      </c>
      <c r="G275" s="47">
        <f t="shared" ref="G275:H275" si="127">G276</f>
        <v>50651.3</v>
      </c>
      <c r="H275" s="47">
        <f t="shared" si="127"/>
        <v>51625.9</v>
      </c>
      <c r="I275" s="4"/>
    </row>
    <row r="276" spans="1:9" ht="63" outlineLevel="4" x14ac:dyDescent="0.25">
      <c r="A276" s="10" t="s">
        <v>27</v>
      </c>
      <c r="B276" s="6" t="s">
        <v>247</v>
      </c>
      <c r="C276" s="6" t="s">
        <v>28</v>
      </c>
      <c r="D276" s="16" t="s">
        <v>113</v>
      </c>
      <c r="E276" s="16" t="s">
        <v>53</v>
      </c>
      <c r="F276" s="47">
        <v>50287.7</v>
      </c>
      <c r="G276" s="47">
        <v>50651.3</v>
      </c>
      <c r="H276" s="47">
        <f>50651.3+974.6</f>
        <v>51625.9</v>
      </c>
      <c r="I276" s="4"/>
    </row>
    <row r="277" spans="1:9" ht="94.5" outlineLevel="3" x14ac:dyDescent="0.25">
      <c r="A277" s="10" t="s">
        <v>239</v>
      </c>
      <c r="B277" s="6" t="s">
        <v>248</v>
      </c>
      <c r="C277" s="6" t="s">
        <v>1</v>
      </c>
      <c r="D277" s="16" t="s">
        <v>2</v>
      </c>
      <c r="E277" s="16" t="s">
        <v>2</v>
      </c>
      <c r="F277" s="47">
        <f>F278</f>
        <v>273</v>
      </c>
      <c r="G277" s="47">
        <f t="shared" ref="G277:H277" si="128">G278</f>
        <v>0</v>
      </c>
      <c r="H277" s="47">
        <f t="shared" si="128"/>
        <v>0</v>
      </c>
      <c r="I277" s="4"/>
    </row>
    <row r="278" spans="1:9" ht="63" outlineLevel="4" x14ac:dyDescent="0.25">
      <c r="A278" s="10" t="s">
        <v>27</v>
      </c>
      <c r="B278" s="6" t="s">
        <v>248</v>
      </c>
      <c r="C278" s="6" t="s">
        <v>28</v>
      </c>
      <c r="D278" s="16" t="s">
        <v>113</v>
      </c>
      <c r="E278" s="16" t="s">
        <v>53</v>
      </c>
      <c r="F278" s="47">
        <v>273</v>
      </c>
      <c r="G278" s="47">
        <v>0</v>
      </c>
      <c r="H278" s="47">
        <v>0</v>
      </c>
      <c r="I278" s="4"/>
    </row>
    <row r="279" spans="1:9" ht="63.75" customHeight="1" outlineLevel="4" x14ac:dyDescent="0.25">
      <c r="A279" s="10" t="s">
        <v>216</v>
      </c>
      <c r="B279" s="6" t="s">
        <v>610</v>
      </c>
      <c r="C279" s="6" t="s">
        <v>1</v>
      </c>
      <c r="D279" s="16" t="s">
        <v>2</v>
      </c>
      <c r="E279" s="16" t="s">
        <v>2</v>
      </c>
      <c r="F279" s="47">
        <f>F280</f>
        <v>0</v>
      </c>
      <c r="G279" s="47">
        <f t="shared" ref="G279:H279" si="129">G280</f>
        <v>0</v>
      </c>
      <c r="H279" s="47">
        <f t="shared" si="129"/>
        <v>373.6</v>
      </c>
      <c r="I279" s="4"/>
    </row>
    <row r="280" spans="1:9" ht="47.25" customHeight="1" outlineLevel="4" x14ac:dyDescent="0.25">
      <c r="A280" s="10" t="s">
        <v>27</v>
      </c>
      <c r="B280" s="6" t="s">
        <v>610</v>
      </c>
      <c r="C280" s="6" t="s">
        <v>28</v>
      </c>
      <c r="D280" s="16" t="s">
        <v>113</v>
      </c>
      <c r="E280" s="16" t="s">
        <v>53</v>
      </c>
      <c r="F280" s="47">
        <v>0</v>
      </c>
      <c r="G280" s="47">
        <v>0</v>
      </c>
      <c r="H280" s="47">
        <v>373.6</v>
      </c>
      <c r="I280" s="4"/>
    </row>
    <row r="281" spans="1:9" ht="94.5" outlineLevel="3" x14ac:dyDescent="0.25">
      <c r="A281" s="10" t="s">
        <v>249</v>
      </c>
      <c r="B281" s="6" t="s">
        <v>250</v>
      </c>
      <c r="C281" s="6" t="s">
        <v>1</v>
      </c>
      <c r="D281" s="16" t="s">
        <v>2</v>
      </c>
      <c r="E281" s="16" t="s">
        <v>2</v>
      </c>
      <c r="F281" s="47">
        <f>F282</f>
        <v>87.3</v>
      </c>
      <c r="G281" s="47">
        <f t="shared" ref="G281:H281" si="130">G282</f>
        <v>88.9</v>
      </c>
      <c r="H281" s="47">
        <f t="shared" si="130"/>
        <v>88.9</v>
      </c>
      <c r="I281" s="4"/>
    </row>
    <row r="282" spans="1:9" ht="63" outlineLevel="4" x14ac:dyDescent="0.25">
      <c r="A282" s="10" t="s">
        <v>27</v>
      </c>
      <c r="B282" s="6" t="s">
        <v>250</v>
      </c>
      <c r="C282" s="6" t="s">
        <v>28</v>
      </c>
      <c r="D282" s="16" t="s">
        <v>113</v>
      </c>
      <c r="E282" s="16" t="s">
        <v>53</v>
      </c>
      <c r="F282" s="47">
        <v>87.3</v>
      </c>
      <c r="G282" s="47">
        <v>88.9</v>
      </c>
      <c r="H282" s="47">
        <v>88.9</v>
      </c>
      <c r="I282" s="4"/>
    </row>
    <row r="283" spans="1:9" ht="63.75" customHeight="1" outlineLevel="4" x14ac:dyDescent="0.25">
      <c r="A283" s="41" t="s">
        <v>655</v>
      </c>
      <c r="B283" s="43" t="s">
        <v>667</v>
      </c>
      <c r="C283" s="6" t="s">
        <v>1</v>
      </c>
      <c r="D283" s="16" t="s">
        <v>2</v>
      </c>
      <c r="E283" s="16" t="s">
        <v>2</v>
      </c>
      <c r="F283" s="47">
        <f>F284</f>
        <v>747.1</v>
      </c>
      <c r="G283" s="47">
        <f t="shared" ref="G283:H283" si="131">G284</f>
        <v>0</v>
      </c>
      <c r="H283" s="47">
        <f t="shared" si="131"/>
        <v>0</v>
      </c>
      <c r="I283" s="4"/>
    </row>
    <row r="284" spans="1:9" ht="48.75" customHeight="1" outlineLevel="4" x14ac:dyDescent="0.25">
      <c r="A284" s="10" t="s">
        <v>27</v>
      </c>
      <c r="B284" s="43" t="s">
        <v>667</v>
      </c>
      <c r="C284" s="43">
        <v>600</v>
      </c>
      <c r="D284" s="16" t="s">
        <v>113</v>
      </c>
      <c r="E284" s="16" t="s">
        <v>53</v>
      </c>
      <c r="F284" s="47">
        <v>747.1</v>
      </c>
      <c r="G284" s="47">
        <v>0</v>
      </c>
      <c r="H284" s="47">
        <v>0</v>
      </c>
      <c r="I284" s="4"/>
    </row>
    <row r="285" spans="1:9" ht="47.25" outlineLevel="3" x14ac:dyDescent="0.25">
      <c r="A285" s="10" t="s">
        <v>251</v>
      </c>
      <c r="B285" s="6" t="s">
        <v>252</v>
      </c>
      <c r="C285" s="6" t="s">
        <v>1</v>
      </c>
      <c r="D285" s="16" t="s">
        <v>2</v>
      </c>
      <c r="E285" s="16" t="s">
        <v>2</v>
      </c>
      <c r="F285" s="47">
        <f>F286</f>
        <v>76868.200000000012</v>
      </c>
      <c r="G285" s="47">
        <f t="shared" ref="G285:H285" si="132">G286</f>
        <v>72178.5</v>
      </c>
      <c r="H285" s="47">
        <f t="shared" si="132"/>
        <v>72178.5</v>
      </c>
      <c r="I285" s="4"/>
    </row>
    <row r="286" spans="1:9" ht="63" outlineLevel="4" x14ac:dyDescent="0.25">
      <c r="A286" s="10" t="s">
        <v>27</v>
      </c>
      <c r="B286" s="6" t="s">
        <v>252</v>
      </c>
      <c r="C286" s="6" t="s">
        <v>28</v>
      </c>
      <c r="D286" s="16" t="s">
        <v>113</v>
      </c>
      <c r="E286" s="16" t="s">
        <v>53</v>
      </c>
      <c r="F286" s="47">
        <f>72739.6+4128.6</f>
        <v>76868.200000000012</v>
      </c>
      <c r="G286" s="47">
        <v>72178.5</v>
      </c>
      <c r="H286" s="47">
        <v>72178.5</v>
      </c>
      <c r="I286" s="4"/>
    </row>
    <row r="287" spans="1:9" ht="47.25" outlineLevel="2" x14ac:dyDescent="0.25">
      <c r="A287" s="10" t="s">
        <v>253</v>
      </c>
      <c r="B287" s="6" t="s">
        <v>254</v>
      </c>
      <c r="C287" s="6" t="s">
        <v>1</v>
      </c>
      <c r="D287" s="16" t="s">
        <v>2</v>
      </c>
      <c r="E287" s="16" t="s">
        <v>2</v>
      </c>
      <c r="F287" s="47">
        <f>F288+F290+F292+F295</f>
        <v>36872.42052</v>
      </c>
      <c r="G287" s="47">
        <f t="shared" ref="G287:H287" si="133">G288+G290+G292+G295</f>
        <v>41613.699999999997</v>
      </c>
      <c r="H287" s="47">
        <f t="shared" si="133"/>
        <v>41661.199999999997</v>
      </c>
      <c r="I287" s="4"/>
    </row>
    <row r="288" spans="1:9" ht="47.25" outlineLevel="3" x14ac:dyDescent="0.25">
      <c r="A288" s="10" t="s">
        <v>255</v>
      </c>
      <c r="B288" s="6" t="s">
        <v>256</v>
      </c>
      <c r="C288" s="6" t="s">
        <v>1</v>
      </c>
      <c r="D288" s="16" t="s">
        <v>2</v>
      </c>
      <c r="E288" s="16" t="s">
        <v>2</v>
      </c>
      <c r="F288" s="47">
        <f>F289</f>
        <v>5032</v>
      </c>
      <c r="G288" s="47">
        <f t="shared" ref="G288:H288" si="134">G289</f>
        <v>5032</v>
      </c>
      <c r="H288" s="47">
        <f t="shared" si="134"/>
        <v>5032</v>
      </c>
      <c r="I288" s="4"/>
    </row>
    <row r="289" spans="1:9" ht="63" outlineLevel="4" x14ac:dyDescent="0.25">
      <c r="A289" s="10" t="s">
        <v>27</v>
      </c>
      <c r="B289" s="6" t="s">
        <v>256</v>
      </c>
      <c r="C289" s="6" t="s">
        <v>28</v>
      </c>
      <c r="D289" s="16" t="s">
        <v>113</v>
      </c>
      <c r="E289" s="16" t="s">
        <v>29</v>
      </c>
      <c r="F289" s="47">
        <v>5032</v>
      </c>
      <c r="G289" s="47">
        <v>5032</v>
      </c>
      <c r="H289" s="47">
        <v>5032</v>
      </c>
      <c r="I289" s="4"/>
    </row>
    <row r="290" spans="1:9" ht="31.5" outlineLevel="3" x14ac:dyDescent="0.25">
      <c r="A290" s="10" t="s">
        <v>257</v>
      </c>
      <c r="B290" s="6" t="s">
        <v>258</v>
      </c>
      <c r="C290" s="6" t="s">
        <v>1</v>
      </c>
      <c r="D290" s="16" t="s">
        <v>2</v>
      </c>
      <c r="E290" s="16" t="s">
        <v>2</v>
      </c>
      <c r="F290" s="47">
        <f>F291</f>
        <v>90</v>
      </c>
      <c r="G290" s="47">
        <f t="shared" ref="G290:H290" si="135">G291</f>
        <v>0</v>
      </c>
      <c r="H290" s="47">
        <f t="shared" si="135"/>
        <v>90</v>
      </c>
      <c r="I290" s="4"/>
    </row>
    <row r="291" spans="1:9" ht="31.5" outlineLevel="4" x14ac:dyDescent="0.25">
      <c r="A291" s="10" t="s">
        <v>66</v>
      </c>
      <c r="B291" s="6" t="s">
        <v>258</v>
      </c>
      <c r="C291" s="6" t="s">
        <v>67</v>
      </c>
      <c r="D291" s="16" t="s">
        <v>113</v>
      </c>
      <c r="E291" s="16" t="s">
        <v>29</v>
      </c>
      <c r="F291" s="47">
        <v>90</v>
      </c>
      <c r="G291" s="47">
        <v>0</v>
      </c>
      <c r="H291" s="47">
        <v>90</v>
      </c>
      <c r="I291" s="4"/>
    </row>
    <row r="292" spans="1:9" ht="173.25" outlineLevel="3" x14ac:dyDescent="0.25">
      <c r="A292" s="10" t="s">
        <v>259</v>
      </c>
      <c r="B292" s="6" t="s">
        <v>260</v>
      </c>
      <c r="C292" s="6" t="s">
        <v>1</v>
      </c>
      <c r="D292" s="16" t="s">
        <v>2</v>
      </c>
      <c r="E292" s="16" t="s">
        <v>2</v>
      </c>
      <c r="F292" s="47">
        <f>F293+F294</f>
        <v>4031</v>
      </c>
      <c r="G292" s="47">
        <f t="shared" ref="G292:H292" si="136">G293+G294</f>
        <v>4031</v>
      </c>
      <c r="H292" s="47">
        <f t="shared" si="136"/>
        <v>4031</v>
      </c>
      <c r="I292" s="4"/>
    </row>
    <row r="293" spans="1:9" ht="110.25" hidden="1" outlineLevel="4" x14ac:dyDescent="0.25">
      <c r="A293" s="10" t="s">
        <v>10</v>
      </c>
      <c r="B293" s="6" t="s">
        <v>260</v>
      </c>
      <c r="C293" s="6" t="s">
        <v>11</v>
      </c>
      <c r="D293" s="16" t="s">
        <v>113</v>
      </c>
      <c r="E293" s="16" t="s">
        <v>29</v>
      </c>
      <c r="F293" s="47">
        <f>732.9-732.9</f>
        <v>0</v>
      </c>
      <c r="G293" s="47">
        <f>732.9-732.9</f>
        <v>0</v>
      </c>
      <c r="H293" s="47">
        <f>732.9-732.9</f>
        <v>0</v>
      </c>
      <c r="I293" s="4"/>
    </row>
    <row r="294" spans="1:9" ht="63" outlineLevel="4" x14ac:dyDescent="0.25">
      <c r="A294" s="10" t="s">
        <v>27</v>
      </c>
      <c r="B294" s="6" t="s">
        <v>260</v>
      </c>
      <c r="C294" s="6" t="s">
        <v>28</v>
      </c>
      <c r="D294" s="16" t="s">
        <v>113</v>
      </c>
      <c r="E294" s="16" t="s">
        <v>29</v>
      </c>
      <c r="F294" s="47">
        <f>3298.1+732.9</f>
        <v>4031</v>
      </c>
      <c r="G294" s="47">
        <f>3298.1+732.9</f>
        <v>4031</v>
      </c>
      <c r="H294" s="47">
        <f>3298.1+732.9</f>
        <v>4031</v>
      </c>
      <c r="I294" s="4"/>
    </row>
    <row r="295" spans="1:9" ht="63" outlineLevel="3" x14ac:dyDescent="0.25">
      <c r="A295" s="10" t="s">
        <v>261</v>
      </c>
      <c r="B295" s="6" t="s">
        <v>262</v>
      </c>
      <c r="C295" s="6" t="s">
        <v>1</v>
      </c>
      <c r="D295" s="16" t="s">
        <v>2</v>
      </c>
      <c r="E295" s="16" t="s">
        <v>2</v>
      </c>
      <c r="F295" s="47">
        <f>F296+F297+F298+F299</f>
        <v>27719.42052</v>
      </c>
      <c r="G295" s="47">
        <f t="shared" ref="G295:H295" si="137">G296+G297+G298+G299</f>
        <v>32550.7</v>
      </c>
      <c r="H295" s="47">
        <f t="shared" si="137"/>
        <v>32508.2</v>
      </c>
      <c r="I295" s="4"/>
    </row>
    <row r="296" spans="1:9" ht="110.25" outlineLevel="4" x14ac:dyDescent="0.25">
      <c r="A296" s="10" t="s">
        <v>10</v>
      </c>
      <c r="B296" s="6" t="s">
        <v>262</v>
      </c>
      <c r="C296" s="6" t="s">
        <v>11</v>
      </c>
      <c r="D296" s="16" t="s">
        <v>113</v>
      </c>
      <c r="E296" s="16" t="s">
        <v>29</v>
      </c>
      <c r="F296" s="47">
        <f>4101.4-372.7-2786.76255-856.44486</f>
        <v>85.49258999999995</v>
      </c>
      <c r="G296" s="47">
        <f>4101.4-16</f>
        <v>4085.3999999999996</v>
      </c>
      <c r="H296" s="47">
        <f>4101.4-58.5</f>
        <v>4042.8999999999996</v>
      </c>
      <c r="I296" s="4"/>
    </row>
    <row r="297" spans="1:9" ht="47.25" outlineLevel="4" x14ac:dyDescent="0.25">
      <c r="A297" s="10" t="s">
        <v>15</v>
      </c>
      <c r="B297" s="6" t="s">
        <v>262</v>
      </c>
      <c r="C297" s="6" t="s">
        <v>16</v>
      </c>
      <c r="D297" s="16" t="s">
        <v>113</v>
      </c>
      <c r="E297" s="16" t="s">
        <v>29</v>
      </c>
      <c r="F297" s="47">
        <f>278.8-112.15554-147.31653</f>
        <v>19.327930000000009</v>
      </c>
      <c r="G297" s="47">
        <v>278.8</v>
      </c>
      <c r="H297" s="47">
        <v>278.8</v>
      </c>
      <c r="I297" s="4"/>
    </row>
    <row r="298" spans="1:9" ht="63" outlineLevel="4" x14ac:dyDescent="0.25">
      <c r="A298" s="10" t="s">
        <v>27</v>
      </c>
      <c r="B298" s="6" t="s">
        <v>262</v>
      </c>
      <c r="C298" s="6" t="s">
        <v>28</v>
      </c>
      <c r="D298" s="16" t="s">
        <v>113</v>
      </c>
      <c r="E298" s="16" t="s">
        <v>29</v>
      </c>
      <c r="F298" s="47">
        <f>27894.5-732.9+234.36</f>
        <v>27395.96</v>
      </c>
      <c r="G298" s="47">
        <v>27894.5</v>
      </c>
      <c r="H298" s="47">
        <v>27894.5</v>
      </c>
      <c r="I298" s="4"/>
    </row>
    <row r="299" spans="1:9" outlineLevel="4" x14ac:dyDescent="0.25">
      <c r="A299" s="10" t="s">
        <v>19</v>
      </c>
      <c r="B299" s="6" t="s">
        <v>262</v>
      </c>
      <c r="C299" s="6" t="s">
        <v>20</v>
      </c>
      <c r="D299" s="16" t="s">
        <v>113</v>
      </c>
      <c r="E299" s="16" t="s">
        <v>29</v>
      </c>
      <c r="F299" s="47">
        <f>292-146.24+72.88</f>
        <v>218.64</v>
      </c>
      <c r="G299" s="47">
        <v>292</v>
      </c>
      <c r="H299" s="47">
        <v>292</v>
      </c>
      <c r="I299" s="4"/>
    </row>
    <row r="300" spans="1:9" ht="31.5" outlineLevel="2" x14ac:dyDescent="0.25">
      <c r="A300" s="10" t="s">
        <v>263</v>
      </c>
      <c r="B300" s="6" t="s">
        <v>264</v>
      </c>
      <c r="C300" s="6" t="s">
        <v>1</v>
      </c>
      <c r="D300" s="16" t="s">
        <v>2</v>
      </c>
      <c r="E300" s="16" t="s">
        <v>2</v>
      </c>
      <c r="F300" s="47">
        <f>F306+F309+F313+F315+F301+F303+F311</f>
        <v>32538</v>
      </c>
      <c r="G300" s="47">
        <f t="shared" ref="G300:H300" si="138">G306+G309+G313+G315</f>
        <v>22187</v>
      </c>
      <c r="H300" s="47">
        <f t="shared" si="138"/>
        <v>22187</v>
      </c>
      <c r="I300" s="4"/>
    </row>
    <row r="301" spans="1:9" ht="63" outlineLevel="2" x14ac:dyDescent="0.25">
      <c r="A301" s="10" t="s">
        <v>633</v>
      </c>
      <c r="B301" s="16" t="s">
        <v>635</v>
      </c>
      <c r="C301" s="6" t="s">
        <v>1</v>
      </c>
      <c r="D301" s="16" t="s">
        <v>2</v>
      </c>
      <c r="E301" s="16" t="s">
        <v>2</v>
      </c>
      <c r="F301" s="47">
        <f>F302</f>
        <v>4000</v>
      </c>
      <c r="G301" s="47">
        <f t="shared" ref="G301:H301" si="139">G302</f>
        <v>0</v>
      </c>
      <c r="H301" s="47">
        <f t="shared" si="139"/>
        <v>0</v>
      </c>
      <c r="I301" s="4"/>
    </row>
    <row r="302" spans="1:9" ht="51" customHeight="1" outlineLevel="2" x14ac:dyDescent="0.25">
      <c r="A302" s="10" t="s">
        <v>27</v>
      </c>
      <c r="B302" s="16" t="s">
        <v>635</v>
      </c>
      <c r="C302" s="6">
        <v>600</v>
      </c>
      <c r="D302" s="16" t="s">
        <v>113</v>
      </c>
      <c r="E302" s="16" t="s">
        <v>113</v>
      </c>
      <c r="F302" s="47">
        <v>4000</v>
      </c>
      <c r="G302" s="47">
        <v>0</v>
      </c>
      <c r="H302" s="47">
        <v>0</v>
      </c>
      <c r="I302" s="4"/>
    </row>
    <row r="303" spans="1:9" ht="189.75" customHeight="1" outlineLevel="2" x14ac:dyDescent="0.25">
      <c r="A303" s="41" t="s">
        <v>646</v>
      </c>
      <c r="B303" s="40" t="s">
        <v>645</v>
      </c>
      <c r="C303" s="6" t="s">
        <v>1</v>
      </c>
      <c r="D303" s="16" t="s">
        <v>2</v>
      </c>
      <c r="E303" s="16" t="s">
        <v>2</v>
      </c>
      <c r="F303" s="47">
        <f>F304+F305</f>
        <v>4501</v>
      </c>
      <c r="G303" s="47">
        <f t="shared" ref="G303:H303" si="140">G304+G305</f>
        <v>0</v>
      </c>
      <c r="H303" s="47">
        <f t="shared" si="140"/>
        <v>0</v>
      </c>
      <c r="I303" s="4"/>
    </row>
    <row r="304" spans="1:9" ht="51" customHeight="1" outlineLevel="2" x14ac:dyDescent="0.25">
      <c r="A304" s="10" t="s">
        <v>15</v>
      </c>
      <c r="B304" s="16" t="s">
        <v>645</v>
      </c>
      <c r="C304" s="6">
        <v>200</v>
      </c>
      <c r="D304" s="16" t="s">
        <v>113</v>
      </c>
      <c r="E304" s="16" t="s">
        <v>113</v>
      </c>
      <c r="F304" s="47">
        <v>41</v>
      </c>
      <c r="G304" s="47">
        <v>0</v>
      </c>
      <c r="H304" s="47">
        <v>0</v>
      </c>
      <c r="I304" s="4"/>
    </row>
    <row r="305" spans="1:9" ht="37.5" customHeight="1" outlineLevel="2" x14ac:dyDescent="0.25">
      <c r="A305" s="10" t="s">
        <v>66</v>
      </c>
      <c r="B305" s="16" t="s">
        <v>645</v>
      </c>
      <c r="C305" s="6">
        <v>300</v>
      </c>
      <c r="D305" s="16" t="s">
        <v>113</v>
      </c>
      <c r="E305" s="16" t="s">
        <v>113</v>
      </c>
      <c r="F305" s="47">
        <v>4460</v>
      </c>
      <c r="G305" s="47">
        <v>0</v>
      </c>
      <c r="H305" s="47">
        <v>0</v>
      </c>
      <c r="I305" s="4"/>
    </row>
    <row r="306" spans="1:9" ht="78.75" outlineLevel="3" x14ac:dyDescent="0.25">
      <c r="A306" s="10" t="s">
        <v>265</v>
      </c>
      <c r="B306" s="6" t="s">
        <v>266</v>
      </c>
      <c r="C306" s="6" t="s">
        <v>1</v>
      </c>
      <c r="D306" s="16" t="s">
        <v>2</v>
      </c>
      <c r="E306" s="16" t="s">
        <v>2</v>
      </c>
      <c r="F306" s="47">
        <f>F307+F308</f>
        <v>6570.2</v>
      </c>
      <c r="G306" s="47">
        <f t="shared" ref="G306:H306" si="141">G307+G308</f>
        <v>6570.2</v>
      </c>
      <c r="H306" s="47">
        <f t="shared" si="141"/>
        <v>6570.2</v>
      </c>
      <c r="I306" s="4"/>
    </row>
    <row r="307" spans="1:9" ht="31.5" outlineLevel="4" x14ac:dyDescent="0.25">
      <c r="A307" s="10" t="s">
        <v>66</v>
      </c>
      <c r="B307" s="6" t="s">
        <v>266</v>
      </c>
      <c r="C307" s="6" t="s">
        <v>67</v>
      </c>
      <c r="D307" s="16" t="s">
        <v>113</v>
      </c>
      <c r="E307" s="16" t="s">
        <v>113</v>
      </c>
      <c r="F307" s="47">
        <v>382</v>
      </c>
      <c r="G307" s="47">
        <v>382</v>
      </c>
      <c r="H307" s="47">
        <v>382</v>
      </c>
      <c r="I307" s="4"/>
    </row>
    <row r="308" spans="1:9" ht="63" outlineLevel="4" x14ac:dyDescent="0.25">
      <c r="A308" s="10" t="s">
        <v>27</v>
      </c>
      <c r="B308" s="6" t="s">
        <v>266</v>
      </c>
      <c r="C308" s="6" t="s">
        <v>28</v>
      </c>
      <c r="D308" s="16" t="s">
        <v>113</v>
      </c>
      <c r="E308" s="16" t="s">
        <v>113</v>
      </c>
      <c r="F308" s="47">
        <v>6188.2</v>
      </c>
      <c r="G308" s="47">
        <v>6188.2</v>
      </c>
      <c r="H308" s="47">
        <v>6188.2</v>
      </c>
      <c r="I308" s="4"/>
    </row>
    <row r="309" spans="1:9" ht="94.5" outlineLevel="3" x14ac:dyDescent="0.25">
      <c r="A309" s="10" t="s">
        <v>267</v>
      </c>
      <c r="B309" s="6" t="s">
        <v>268</v>
      </c>
      <c r="C309" s="6" t="s">
        <v>1</v>
      </c>
      <c r="D309" s="16" t="s">
        <v>2</v>
      </c>
      <c r="E309" s="16" t="s">
        <v>2</v>
      </c>
      <c r="F309" s="47">
        <f>F310</f>
        <v>5353.8</v>
      </c>
      <c r="G309" s="47">
        <f t="shared" ref="G309:H309" si="142">G310</f>
        <v>5353.8</v>
      </c>
      <c r="H309" s="47">
        <f t="shared" si="142"/>
        <v>5353.8</v>
      </c>
      <c r="I309" s="4"/>
    </row>
    <row r="310" spans="1:9" ht="63" outlineLevel="4" x14ac:dyDescent="0.25">
      <c r="A310" s="10" t="s">
        <v>27</v>
      </c>
      <c r="B310" s="6" t="s">
        <v>268</v>
      </c>
      <c r="C310" s="6" t="s">
        <v>28</v>
      </c>
      <c r="D310" s="16" t="s">
        <v>113</v>
      </c>
      <c r="E310" s="16" t="s">
        <v>113</v>
      </c>
      <c r="F310" s="47">
        <v>5353.8</v>
      </c>
      <c r="G310" s="47">
        <v>5353.8</v>
      </c>
      <c r="H310" s="47">
        <v>5353.8</v>
      </c>
      <c r="I310" s="4"/>
    </row>
    <row r="311" spans="1:9" ht="78.75" outlineLevel="4" x14ac:dyDescent="0.25">
      <c r="A311" s="41" t="s">
        <v>676</v>
      </c>
      <c r="B311" s="42" t="s">
        <v>677</v>
      </c>
      <c r="C311" s="6" t="s">
        <v>1</v>
      </c>
      <c r="D311" s="16" t="s">
        <v>2</v>
      </c>
      <c r="E311" s="16" t="s">
        <v>2</v>
      </c>
      <c r="F311" s="47">
        <f>F312</f>
        <v>1850</v>
      </c>
      <c r="G311" s="47">
        <f t="shared" ref="G311:H311" si="143">G312</f>
        <v>0</v>
      </c>
      <c r="H311" s="47">
        <f t="shared" si="143"/>
        <v>0</v>
      </c>
      <c r="I311" s="4"/>
    </row>
    <row r="312" spans="1:9" ht="48" customHeight="1" outlineLevel="4" x14ac:dyDescent="0.25">
      <c r="A312" s="10" t="s">
        <v>27</v>
      </c>
      <c r="B312" s="6" t="s">
        <v>677</v>
      </c>
      <c r="C312" s="6" t="s">
        <v>28</v>
      </c>
      <c r="D312" s="16" t="s">
        <v>113</v>
      </c>
      <c r="E312" s="16" t="s">
        <v>113</v>
      </c>
      <c r="F312" s="47">
        <v>1850</v>
      </c>
      <c r="G312" s="47">
        <v>0</v>
      </c>
      <c r="H312" s="47">
        <v>0</v>
      </c>
      <c r="I312" s="4"/>
    </row>
    <row r="313" spans="1:9" ht="47.25" outlineLevel="3" x14ac:dyDescent="0.25">
      <c r="A313" s="10" t="s">
        <v>269</v>
      </c>
      <c r="B313" s="6" t="s">
        <v>270</v>
      </c>
      <c r="C313" s="6" t="s">
        <v>1</v>
      </c>
      <c r="D313" s="16" t="s">
        <v>2</v>
      </c>
      <c r="E313" s="16" t="s">
        <v>2</v>
      </c>
      <c r="F313" s="47">
        <f>F314</f>
        <v>9463</v>
      </c>
      <c r="G313" s="47">
        <f t="shared" ref="G313:H313" si="144">G314</f>
        <v>9463</v>
      </c>
      <c r="H313" s="47">
        <f t="shared" si="144"/>
        <v>9463</v>
      </c>
      <c r="I313" s="4"/>
    </row>
    <row r="314" spans="1:9" ht="63" outlineLevel="4" x14ac:dyDescent="0.25">
      <c r="A314" s="10" t="s">
        <v>27</v>
      </c>
      <c r="B314" s="6" t="s">
        <v>270</v>
      </c>
      <c r="C314" s="6" t="s">
        <v>28</v>
      </c>
      <c r="D314" s="16" t="s">
        <v>113</v>
      </c>
      <c r="E314" s="16" t="s">
        <v>113</v>
      </c>
      <c r="F314" s="47">
        <v>9463</v>
      </c>
      <c r="G314" s="47">
        <v>9463</v>
      </c>
      <c r="H314" s="47">
        <v>9463</v>
      </c>
      <c r="I314" s="4"/>
    </row>
    <row r="315" spans="1:9" ht="63" outlineLevel="3" x14ac:dyDescent="0.25">
      <c r="A315" s="10" t="s">
        <v>271</v>
      </c>
      <c r="B315" s="6" t="s">
        <v>272</v>
      </c>
      <c r="C315" s="6" t="s">
        <v>1</v>
      </c>
      <c r="D315" s="16" t="s">
        <v>2</v>
      </c>
      <c r="E315" s="16" t="s">
        <v>2</v>
      </c>
      <c r="F315" s="47">
        <f>F316</f>
        <v>800</v>
      </c>
      <c r="G315" s="47">
        <f t="shared" ref="G315:H315" si="145">G316</f>
        <v>800</v>
      </c>
      <c r="H315" s="47">
        <f t="shared" si="145"/>
        <v>800</v>
      </c>
      <c r="I315" s="4"/>
    </row>
    <row r="316" spans="1:9" ht="63" outlineLevel="4" x14ac:dyDescent="0.25">
      <c r="A316" s="10" t="s">
        <v>27</v>
      </c>
      <c r="B316" s="6" t="s">
        <v>272</v>
      </c>
      <c r="C316" s="6" t="s">
        <v>28</v>
      </c>
      <c r="D316" s="16" t="s">
        <v>113</v>
      </c>
      <c r="E316" s="16" t="s">
        <v>113</v>
      </c>
      <c r="F316" s="47">
        <v>800</v>
      </c>
      <c r="G316" s="47">
        <v>800</v>
      </c>
      <c r="H316" s="47">
        <v>800</v>
      </c>
      <c r="I316" s="4"/>
    </row>
    <row r="317" spans="1:9" ht="50.25" customHeight="1" outlineLevel="4" x14ac:dyDescent="0.25">
      <c r="A317" s="10" t="s">
        <v>611</v>
      </c>
      <c r="B317" s="6" t="s">
        <v>612</v>
      </c>
      <c r="C317" s="6" t="s">
        <v>1</v>
      </c>
      <c r="D317" s="16" t="s">
        <v>2</v>
      </c>
      <c r="E317" s="16" t="s">
        <v>2</v>
      </c>
      <c r="F317" s="47">
        <f>F318</f>
        <v>21577.7</v>
      </c>
      <c r="G317" s="47">
        <f t="shared" ref="G317:H318" si="146">G318</f>
        <v>0</v>
      </c>
      <c r="H317" s="47">
        <f t="shared" si="146"/>
        <v>0</v>
      </c>
      <c r="I317" s="4"/>
    </row>
    <row r="318" spans="1:9" ht="31.5" outlineLevel="4" x14ac:dyDescent="0.25">
      <c r="A318" s="10" t="s">
        <v>613</v>
      </c>
      <c r="B318" s="6" t="s">
        <v>614</v>
      </c>
      <c r="C318" s="6" t="s">
        <v>1</v>
      </c>
      <c r="D318" s="16" t="s">
        <v>2</v>
      </c>
      <c r="E318" s="16" t="s">
        <v>2</v>
      </c>
      <c r="F318" s="47">
        <f>F319</f>
        <v>21577.7</v>
      </c>
      <c r="G318" s="47">
        <f t="shared" si="146"/>
        <v>0</v>
      </c>
      <c r="H318" s="47">
        <f t="shared" si="146"/>
        <v>0</v>
      </c>
      <c r="I318" s="4"/>
    </row>
    <row r="319" spans="1:9" ht="47.25" customHeight="1" outlineLevel="4" x14ac:dyDescent="0.25">
      <c r="A319" s="10" t="s">
        <v>615</v>
      </c>
      <c r="B319" s="6" t="s">
        <v>614</v>
      </c>
      <c r="C319" s="6" t="s">
        <v>28</v>
      </c>
      <c r="D319" s="16" t="s">
        <v>113</v>
      </c>
      <c r="E319" s="16" t="s">
        <v>53</v>
      </c>
      <c r="F319" s="47">
        <v>21577.7</v>
      </c>
      <c r="G319" s="47">
        <v>0</v>
      </c>
      <c r="H319" s="47">
        <v>0</v>
      </c>
      <c r="I319" s="4"/>
    </row>
    <row r="320" spans="1:9" ht="47.25" outlineLevel="2" x14ac:dyDescent="0.25">
      <c r="A320" s="10" t="s">
        <v>273</v>
      </c>
      <c r="B320" s="6" t="s">
        <v>274</v>
      </c>
      <c r="C320" s="6" t="s">
        <v>1</v>
      </c>
      <c r="D320" s="16" t="s">
        <v>2</v>
      </c>
      <c r="E320" s="16" t="s">
        <v>2</v>
      </c>
      <c r="F320" s="47">
        <f>F321</f>
        <v>11512.5</v>
      </c>
      <c r="G320" s="47">
        <f t="shared" ref="G320:H320" si="147">G321</f>
        <v>1600.4</v>
      </c>
      <c r="H320" s="47">
        <f t="shared" si="147"/>
        <v>0</v>
      </c>
      <c r="I320" s="4"/>
    </row>
    <row r="321" spans="1:9" ht="63" outlineLevel="3" x14ac:dyDescent="0.25">
      <c r="A321" s="10" t="s">
        <v>628</v>
      </c>
      <c r="B321" s="6" t="s">
        <v>629</v>
      </c>
      <c r="C321" s="6" t="s">
        <v>1</v>
      </c>
      <c r="D321" s="16" t="s">
        <v>2</v>
      </c>
      <c r="E321" s="16" t="s">
        <v>2</v>
      </c>
      <c r="F321" s="47">
        <f>F322</f>
        <v>11512.5</v>
      </c>
      <c r="G321" s="47">
        <f t="shared" ref="G321:H321" si="148">G322</f>
        <v>1600.4</v>
      </c>
      <c r="H321" s="47">
        <f t="shared" si="148"/>
        <v>0</v>
      </c>
      <c r="I321" s="4"/>
    </row>
    <row r="322" spans="1:9" ht="48" customHeight="1" outlineLevel="4" x14ac:dyDescent="0.25">
      <c r="A322" s="10" t="s">
        <v>27</v>
      </c>
      <c r="B322" s="6" t="s">
        <v>629</v>
      </c>
      <c r="C322" s="6" t="s">
        <v>28</v>
      </c>
      <c r="D322" s="16" t="s">
        <v>113</v>
      </c>
      <c r="E322" s="16" t="s">
        <v>53</v>
      </c>
      <c r="F322" s="47">
        <f>14327.2-2814.7</f>
        <v>11512.5</v>
      </c>
      <c r="G322" s="47">
        <v>1600.4</v>
      </c>
      <c r="H322" s="47">
        <v>0</v>
      </c>
      <c r="I322" s="4"/>
    </row>
    <row r="323" spans="1:9" ht="63" outlineLevel="2" x14ac:dyDescent="0.25">
      <c r="A323" s="10" t="s">
        <v>649</v>
      </c>
      <c r="B323" s="6" t="s">
        <v>275</v>
      </c>
      <c r="C323" s="6" t="s">
        <v>1</v>
      </c>
      <c r="D323" s="16" t="s">
        <v>2</v>
      </c>
      <c r="E323" s="16" t="s">
        <v>2</v>
      </c>
      <c r="F323" s="47">
        <f>F324+F326</f>
        <v>0</v>
      </c>
      <c r="G323" s="47">
        <f t="shared" ref="G323:H323" si="149">G324+G326</f>
        <v>164</v>
      </c>
      <c r="H323" s="47">
        <f t="shared" si="149"/>
        <v>0</v>
      </c>
      <c r="I323" s="4"/>
    </row>
    <row r="324" spans="1:9" ht="63" outlineLevel="3" x14ac:dyDescent="0.25">
      <c r="A324" s="10" t="s">
        <v>276</v>
      </c>
      <c r="B324" s="6" t="s">
        <v>277</v>
      </c>
      <c r="C324" s="6" t="s">
        <v>1</v>
      </c>
      <c r="D324" s="16" t="s">
        <v>2</v>
      </c>
      <c r="E324" s="16" t="s">
        <v>2</v>
      </c>
      <c r="F324" s="47">
        <f>F325</f>
        <v>0</v>
      </c>
      <c r="G324" s="47">
        <f t="shared" ref="G324:H324" si="150">G325</f>
        <v>143</v>
      </c>
      <c r="H324" s="47">
        <f t="shared" si="150"/>
        <v>0</v>
      </c>
      <c r="I324" s="4"/>
    </row>
    <row r="325" spans="1:9" ht="63" outlineLevel="4" x14ac:dyDescent="0.25">
      <c r="A325" s="10" t="s">
        <v>27</v>
      </c>
      <c r="B325" s="6" t="s">
        <v>277</v>
      </c>
      <c r="C325" s="6" t="s">
        <v>28</v>
      </c>
      <c r="D325" s="16" t="s">
        <v>113</v>
      </c>
      <c r="E325" s="16" t="s">
        <v>53</v>
      </c>
      <c r="F325" s="47">
        <v>0</v>
      </c>
      <c r="G325" s="47">
        <v>143</v>
      </c>
      <c r="H325" s="47">
        <v>0</v>
      </c>
      <c r="I325" s="4"/>
    </row>
    <row r="326" spans="1:9" ht="63" outlineLevel="3" x14ac:dyDescent="0.25">
      <c r="A326" s="10" t="s">
        <v>276</v>
      </c>
      <c r="B326" s="6" t="s">
        <v>278</v>
      </c>
      <c r="C326" s="6" t="s">
        <v>1</v>
      </c>
      <c r="D326" s="16" t="s">
        <v>2</v>
      </c>
      <c r="E326" s="16" t="s">
        <v>2</v>
      </c>
      <c r="F326" s="47">
        <f>F327</f>
        <v>0</v>
      </c>
      <c r="G326" s="47">
        <f t="shared" ref="G326:H326" si="151">G327</f>
        <v>21</v>
      </c>
      <c r="H326" s="47">
        <f t="shared" si="151"/>
        <v>0</v>
      </c>
      <c r="I326" s="4"/>
    </row>
    <row r="327" spans="1:9" ht="63" outlineLevel="4" x14ac:dyDescent="0.25">
      <c r="A327" s="10" t="s">
        <v>27</v>
      </c>
      <c r="B327" s="6" t="s">
        <v>278</v>
      </c>
      <c r="C327" s="6" t="s">
        <v>28</v>
      </c>
      <c r="D327" s="16" t="s">
        <v>113</v>
      </c>
      <c r="E327" s="16" t="s">
        <v>53</v>
      </c>
      <c r="F327" s="47">
        <v>0</v>
      </c>
      <c r="G327" s="47">
        <v>21</v>
      </c>
      <c r="H327" s="47">
        <v>0</v>
      </c>
      <c r="I327" s="4"/>
    </row>
    <row r="328" spans="1:9" s="13" customFormat="1" ht="47.25" outlineLevel="1" x14ac:dyDescent="0.25">
      <c r="A328" s="28" t="s">
        <v>279</v>
      </c>
      <c r="B328" s="29" t="s">
        <v>280</v>
      </c>
      <c r="C328" s="29" t="s">
        <v>1</v>
      </c>
      <c r="D328" s="30" t="s">
        <v>2</v>
      </c>
      <c r="E328" s="30" t="s">
        <v>2</v>
      </c>
      <c r="F328" s="46">
        <f>F329+F339</f>
        <v>49762.2</v>
      </c>
      <c r="G328" s="46">
        <f t="shared" ref="G328:H328" si="152">G329+G339</f>
        <v>49762.2</v>
      </c>
      <c r="H328" s="46">
        <f t="shared" si="152"/>
        <v>49762.2</v>
      </c>
      <c r="I328" s="12"/>
    </row>
    <row r="329" spans="1:9" ht="47.25" outlineLevel="2" x14ac:dyDescent="0.25">
      <c r="A329" s="10" t="s">
        <v>281</v>
      </c>
      <c r="B329" s="6" t="s">
        <v>282</v>
      </c>
      <c r="C329" s="6" t="s">
        <v>1</v>
      </c>
      <c r="D329" s="16" t="s">
        <v>2</v>
      </c>
      <c r="E329" s="16" t="s">
        <v>2</v>
      </c>
      <c r="F329" s="47">
        <f>F330+F333+F336</f>
        <v>46311</v>
      </c>
      <c r="G329" s="47">
        <f t="shared" ref="G329:H329" si="153">G330+G333+G336</f>
        <v>46311</v>
      </c>
      <c r="H329" s="47">
        <f t="shared" si="153"/>
        <v>46311</v>
      </c>
      <c r="I329" s="4"/>
    </row>
    <row r="330" spans="1:9" ht="78.75" outlineLevel="3" x14ac:dyDescent="0.25">
      <c r="A330" s="10" t="s">
        <v>283</v>
      </c>
      <c r="B330" s="6" t="s">
        <v>284</v>
      </c>
      <c r="C330" s="6" t="s">
        <v>1</v>
      </c>
      <c r="D330" s="16" t="s">
        <v>2</v>
      </c>
      <c r="E330" s="16" t="s">
        <v>2</v>
      </c>
      <c r="F330" s="47">
        <f>F331+F332</f>
        <v>12435.21888</v>
      </c>
      <c r="G330" s="47">
        <f t="shared" ref="G330:H330" si="154">G331+G332</f>
        <v>13300</v>
      </c>
      <c r="H330" s="47">
        <f t="shared" si="154"/>
        <v>13300</v>
      </c>
      <c r="I330" s="4"/>
    </row>
    <row r="331" spans="1:9" ht="47.25" outlineLevel="4" x14ac:dyDescent="0.25">
      <c r="A331" s="10" t="s">
        <v>15</v>
      </c>
      <c r="B331" s="6" t="s">
        <v>284</v>
      </c>
      <c r="C331" s="6" t="s">
        <v>16</v>
      </c>
      <c r="D331" s="16" t="s">
        <v>68</v>
      </c>
      <c r="E331" s="16" t="s">
        <v>44</v>
      </c>
      <c r="F331" s="47">
        <v>100</v>
      </c>
      <c r="G331" s="47">
        <v>100</v>
      </c>
      <c r="H331" s="47">
        <v>100</v>
      </c>
      <c r="I331" s="4"/>
    </row>
    <row r="332" spans="1:9" ht="31.5" outlineLevel="4" x14ac:dyDescent="0.25">
      <c r="A332" s="10" t="s">
        <v>66</v>
      </c>
      <c r="B332" s="6" t="s">
        <v>284</v>
      </c>
      <c r="C332" s="6" t="s">
        <v>67</v>
      </c>
      <c r="D332" s="16" t="s">
        <v>68</v>
      </c>
      <c r="E332" s="16" t="s">
        <v>44</v>
      </c>
      <c r="F332" s="47">
        <f>13200-1656+1350-558.78112</f>
        <v>12335.21888</v>
      </c>
      <c r="G332" s="47">
        <v>13200</v>
      </c>
      <c r="H332" s="47">
        <v>13200</v>
      </c>
      <c r="I332" s="4"/>
    </row>
    <row r="333" spans="1:9" ht="94.5" outlineLevel="3" x14ac:dyDescent="0.25">
      <c r="A333" s="10" t="s">
        <v>285</v>
      </c>
      <c r="B333" s="6" t="s">
        <v>286</v>
      </c>
      <c r="C333" s="6" t="s">
        <v>1</v>
      </c>
      <c r="D333" s="16" t="s">
        <v>2</v>
      </c>
      <c r="E333" s="16" t="s">
        <v>2</v>
      </c>
      <c r="F333" s="47">
        <f>F334+F335</f>
        <v>14706.78112</v>
      </c>
      <c r="G333" s="47">
        <f t="shared" ref="G333:H333" si="155">G334+G335</f>
        <v>14544</v>
      </c>
      <c r="H333" s="47">
        <f t="shared" si="155"/>
        <v>14544</v>
      </c>
      <c r="I333" s="4"/>
    </row>
    <row r="334" spans="1:9" ht="47.25" outlineLevel="4" x14ac:dyDescent="0.25">
      <c r="A334" s="10" t="s">
        <v>15</v>
      </c>
      <c r="B334" s="6" t="s">
        <v>286</v>
      </c>
      <c r="C334" s="6" t="s">
        <v>16</v>
      </c>
      <c r="D334" s="16" t="s">
        <v>68</v>
      </c>
      <c r="E334" s="16" t="s">
        <v>44</v>
      </c>
      <c r="F334" s="47">
        <v>144</v>
      </c>
      <c r="G334" s="47">
        <v>144</v>
      </c>
      <c r="H334" s="47">
        <v>144</v>
      </c>
      <c r="I334" s="4"/>
    </row>
    <row r="335" spans="1:9" ht="31.5" outlineLevel="4" x14ac:dyDescent="0.25">
      <c r="A335" s="10" t="s">
        <v>66</v>
      </c>
      <c r="B335" s="6" t="s">
        <v>286</v>
      </c>
      <c r="C335" s="6" t="s">
        <v>67</v>
      </c>
      <c r="D335" s="16" t="s">
        <v>68</v>
      </c>
      <c r="E335" s="16" t="s">
        <v>44</v>
      </c>
      <c r="F335" s="47">
        <f>14400+954-1350+558.78112</f>
        <v>14562.78112</v>
      </c>
      <c r="G335" s="47">
        <v>14400</v>
      </c>
      <c r="H335" s="47">
        <v>14400</v>
      </c>
      <c r="I335" s="4"/>
    </row>
    <row r="336" spans="1:9" ht="94.5" outlineLevel="3" x14ac:dyDescent="0.25">
      <c r="A336" s="10" t="s">
        <v>287</v>
      </c>
      <c r="B336" s="6" t="s">
        <v>288</v>
      </c>
      <c r="C336" s="6" t="s">
        <v>1</v>
      </c>
      <c r="D336" s="16" t="s">
        <v>2</v>
      </c>
      <c r="E336" s="16" t="s">
        <v>2</v>
      </c>
      <c r="F336" s="47">
        <f>F337+F338</f>
        <v>19169</v>
      </c>
      <c r="G336" s="47">
        <f t="shared" ref="G336:H336" si="156">G337+G338</f>
        <v>18467</v>
      </c>
      <c r="H336" s="47">
        <f t="shared" si="156"/>
        <v>18467</v>
      </c>
      <c r="I336" s="4"/>
    </row>
    <row r="337" spans="1:9" ht="47.25" outlineLevel="4" x14ac:dyDescent="0.25">
      <c r="A337" s="10" t="s">
        <v>15</v>
      </c>
      <c r="B337" s="6" t="s">
        <v>288</v>
      </c>
      <c r="C337" s="6" t="s">
        <v>16</v>
      </c>
      <c r="D337" s="16" t="s">
        <v>68</v>
      </c>
      <c r="E337" s="16" t="s">
        <v>44</v>
      </c>
      <c r="F337" s="47">
        <v>180</v>
      </c>
      <c r="G337" s="47">
        <v>180</v>
      </c>
      <c r="H337" s="47">
        <v>180</v>
      </c>
      <c r="I337" s="4"/>
    </row>
    <row r="338" spans="1:9" ht="31.5" outlineLevel="4" x14ac:dyDescent="0.25">
      <c r="A338" s="10" t="s">
        <v>66</v>
      </c>
      <c r="B338" s="6" t="s">
        <v>288</v>
      </c>
      <c r="C338" s="6" t="s">
        <v>67</v>
      </c>
      <c r="D338" s="16" t="s">
        <v>68</v>
      </c>
      <c r="E338" s="16" t="s">
        <v>44</v>
      </c>
      <c r="F338" s="47">
        <f>18287+702</f>
        <v>18989</v>
      </c>
      <c r="G338" s="47">
        <v>18287</v>
      </c>
      <c r="H338" s="47">
        <v>18287</v>
      </c>
      <c r="I338" s="4"/>
    </row>
    <row r="339" spans="1:9" ht="47.25" outlineLevel="2" x14ac:dyDescent="0.25">
      <c r="A339" s="10" t="s">
        <v>289</v>
      </c>
      <c r="B339" s="6" t="s">
        <v>290</v>
      </c>
      <c r="C339" s="6" t="s">
        <v>1</v>
      </c>
      <c r="D339" s="16" t="s">
        <v>2</v>
      </c>
      <c r="E339" s="16" t="s">
        <v>2</v>
      </c>
      <c r="F339" s="47">
        <f>F340</f>
        <v>3451.2000000000003</v>
      </c>
      <c r="G339" s="47">
        <f t="shared" ref="G339:H339" si="157">G340</f>
        <v>3451.2000000000003</v>
      </c>
      <c r="H339" s="47">
        <f t="shared" si="157"/>
        <v>3451.2000000000003</v>
      </c>
      <c r="I339" s="4"/>
    </row>
    <row r="340" spans="1:9" ht="78.75" outlineLevel="3" x14ac:dyDescent="0.25">
      <c r="A340" s="10" t="s">
        <v>291</v>
      </c>
      <c r="B340" s="6" t="s">
        <v>292</v>
      </c>
      <c r="C340" s="6" t="s">
        <v>1</v>
      </c>
      <c r="D340" s="16" t="s">
        <v>2</v>
      </c>
      <c r="E340" s="16" t="s">
        <v>2</v>
      </c>
      <c r="F340" s="47">
        <f>F341+F342</f>
        <v>3451.2000000000003</v>
      </c>
      <c r="G340" s="47">
        <f t="shared" ref="G340:H340" si="158">G341+G342</f>
        <v>3451.2000000000003</v>
      </c>
      <c r="H340" s="47">
        <f t="shared" si="158"/>
        <v>3451.2000000000003</v>
      </c>
      <c r="I340" s="4"/>
    </row>
    <row r="341" spans="1:9" ht="110.25" outlineLevel="4" x14ac:dyDescent="0.25">
      <c r="A341" s="10" t="s">
        <v>10</v>
      </c>
      <c r="B341" s="6" t="s">
        <v>292</v>
      </c>
      <c r="C341" s="6" t="s">
        <v>11</v>
      </c>
      <c r="D341" s="16" t="s">
        <v>68</v>
      </c>
      <c r="E341" s="16" t="s">
        <v>179</v>
      </c>
      <c r="F341" s="47">
        <f>3183.4-50</f>
        <v>3133.4</v>
      </c>
      <c r="G341" s="47">
        <v>3183.4</v>
      </c>
      <c r="H341" s="47">
        <v>3183.4</v>
      </c>
      <c r="I341" s="4"/>
    </row>
    <row r="342" spans="1:9" ht="47.25" outlineLevel="4" x14ac:dyDescent="0.25">
      <c r="A342" s="10" t="s">
        <v>15</v>
      </c>
      <c r="B342" s="6" t="s">
        <v>292</v>
      </c>
      <c r="C342" s="6" t="s">
        <v>16</v>
      </c>
      <c r="D342" s="16" t="s">
        <v>68</v>
      </c>
      <c r="E342" s="16" t="s">
        <v>179</v>
      </c>
      <c r="F342" s="47">
        <f>267.8+50</f>
        <v>317.8</v>
      </c>
      <c r="G342" s="47">
        <v>267.8</v>
      </c>
      <c r="H342" s="47">
        <v>267.8</v>
      </c>
      <c r="I342" s="4"/>
    </row>
    <row r="343" spans="1:9" s="13" customFormat="1" ht="47.25" outlineLevel="1" x14ac:dyDescent="0.25">
      <c r="A343" s="28" t="s">
        <v>293</v>
      </c>
      <c r="B343" s="29" t="s">
        <v>294</v>
      </c>
      <c r="C343" s="29" t="s">
        <v>1</v>
      </c>
      <c r="D343" s="30" t="s">
        <v>2</v>
      </c>
      <c r="E343" s="30" t="s">
        <v>2</v>
      </c>
      <c r="F343" s="46">
        <f>F344</f>
        <v>42627.69999999999</v>
      </c>
      <c r="G343" s="46">
        <f t="shared" ref="G343:H343" si="159">G344</f>
        <v>42442.69999999999</v>
      </c>
      <c r="H343" s="46">
        <f t="shared" si="159"/>
        <v>42442.69999999999</v>
      </c>
      <c r="I343" s="12"/>
    </row>
    <row r="344" spans="1:9" ht="47.25" outlineLevel="2" x14ac:dyDescent="0.25">
      <c r="A344" s="10" t="s">
        <v>6</v>
      </c>
      <c r="B344" s="6" t="s">
        <v>295</v>
      </c>
      <c r="C344" s="6" t="s">
        <v>1</v>
      </c>
      <c r="D344" s="16" t="s">
        <v>2</v>
      </c>
      <c r="E344" s="16" t="s">
        <v>2</v>
      </c>
      <c r="F344" s="47">
        <f>F345+F349+F352+F356</f>
        <v>42627.69999999999</v>
      </c>
      <c r="G344" s="47">
        <f t="shared" ref="G344:H344" si="160">G345+G349+G352+G356</f>
        <v>42442.69999999999</v>
      </c>
      <c r="H344" s="47">
        <f t="shared" si="160"/>
        <v>42442.69999999999</v>
      </c>
      <c r="I344" s="4"/>
    </row>
    <row r="345" spans="1:9" ht="47.25" outlineLevel="3" x14ac:dyDescent="0.25">
      <c r="A345" s="10" t="s">
        <v>8</v>
      </c>
      <c r="B345" s="6" t="s">
        <v>296</v>
      </c>
      <c r="C345" s="6" t="s">
        <v>1</v>
      </c>
      <c r="D345" s="16" t="s">
        <v>2</v>
      </c>
      <c r="E345" s="16" t="s">
        <v>2</v>
      </c>
      <c r="F345" s="47">
        <f>F346+F347+F348</f>
        <v>10182.299999999999</v>
      </c>
      <c r="G345" s="47">
        <f t="shared" ref="G345:H345" si="161">G346+G347+G348</f>
        <v>9997.2999999999993</v>
      </c>
      <c r="H345" s="47">
        <f t="shared" si="161"/>
        <v>9997.2999999999993</v>
      </c>
      <c r="I345" s="4"/>
    </row>
    <row r="346" spans="1:9" ht="110.25" outlineLevel="4" x14ac:dyDescent="0.25">
      <c r="A346" s="10" t="s">
        <v>10</v>
      </c>
      <c r="B346" s="6" t="s">
        <v>296</v>
      </c>
      <c r="C346" s="6" t="s">
        <v>11</v>
      </c>
      <c r="D346" s="16" t="s">
        <v>113</v>
      </c>
      <c r="E346" s="16" t="s">
        <v>81</v>
      </c>
      <c r="F346" s="47">
        <v>9113.6</v>
      </c>
      <c r="G346" s="47">
        <v>9113.6</v>
      </c>
      <c r="H346" s="47">
        <v>9113.6</v>
      </c>
      <c r="I346" s="4"/>
    </row>
    <row r="347" spans="1:9" ht="47.25" outlineLevel="4" x14ac:dyDescent="0.25">
      <c r="A347" s="10" t="s">
        <v>15</v>
      </c>
      <c r="B347" s="6" t="s">
        <v>296</v>
      </c>
      <c r="C347" s="6" t="s">
        <v>16</v>
      </c>
      <c r="D347" s="16" t="s">
        <v>113</v>
      </c>
      <c r="E347" s="16" t="s">
        <v>81</v>
      </c>
      <c r="F347" s="47">
        <f>874.3+185</f>
        <v>1059.3</v>
      </c>
      <c r="G347" s="47">
        <v>874.3</v>
      </c>
      <c r="H347" s="47">
        <v>874.3</v>
      </c>
      <c r="I347" s="4"/>
    </row>
    <row r="348" spans="1:9" outlineLevel="4" x14ac:dyDescent="0.25">
      <c r="A348" s="10" t="s">
        <v>19</v>
      </c>
      <c r="B348" s="6" t="s">
        <v>296</v>
      </c>
      <c r="C348" s="6" t="s">
        <v>20</v>
      </c>
      <c r="D348" s="16" t="s">
        <v>113</v>
      </c>
      <c r="E348" s="16" t="s">
        <v>81</v>
      </c>
      <c r="F348" s="47">
        <v>9.4</v>
      </c>
      <c r="G348" s="47">
        <v>9.4</v>
      </c>
      <c r="H348" s="47">
        <v>9.4</v>
      </c>
      <c r="I348" s="4"/>
    </row>
    <row r="349" spans="1:9" ht="126" outlineLevel="3" x14ac:dyDescent="0.25">
      <c r="A349" s="10" t="s">
        <v>214</v>
      </c>
      <c r="B349" s="6" t="s">
        <v>297</v>
      </c>
      <c r="C349" s="6" t="s">
        <v>1</v>
      </c>
      <c r="D349" s="16" t="s">
        <v>2</v>
      </c>
      <c r="E349" s="16" t="s">
        <v>2</v>
      </c>
      <c r="F349" s="47">
        <f>F350+F351</f>
        <v>4100.3</v>
      </c>
      <c r="G349" s="47">
        <f t="shared" ref="G349:H349" si="162">G350+G351</f>
        <v>4100.3</v>
      </c>
      <c r="H349" s="47">
        <f t="shared" si="162"/>
        <v>4100.3</v>
      </c>
      <c r="I349" s="4"/>
    </row>
    <row r="350" spans="1:9" ht="47.25" outlineLevel="4" x14ac:dyDescent="0.25">
      <c r="A350" s="10" t="s">
        <v>15</v>
      </c>
      <c r="B350" s="6" t="s">
        <v>297</v>
      </c>
      <c r="C350" s="6" t="s">
        <v>16</v>
      </c>
      <c r="D350" s="16" t="s">
        <v>68</v>
      </c>
      <c r="E350" s="16" t="s">
        <v>29</v>
      </c>
      <c r="F350" s="47">
        <v>60</v>
      </c>
      <c r="G350" s="47">
        <v>60</v>
      </c>
      <c r="H350" s="47">
        <v>60</v>
      </c>
      <c r="I350" s="4"/>
    </row>
    <row r="351" spans="1:9" ht="31.5" outlineLevel="4" x14ac:dyDescent="0.25">
      <c r="A351" s="10" t="s">
        <v>66</v>
      </c>
      <c r="B351" s="6" t="s">
        <v>297</v>
      </c>
      <c r="C351" s="6" t="s">
        <v>67</v>
      </c>
      <c r="D351" s="16" t="s">
        <v>68</v>
      </c>
      <c r="E351" s="16" t="s">
        <v>29</v>
      </c>
      <c r="F351" s="47">
        <v>4040.3</v>
      </c>
      <c r="G351" s="47">
        <v>4040.3</v>
      </c>
      <c r="H351" s="47">
        <v>4040.3</v>
      </c>
      <c r="I351" s="4"/>
    </row>
    <row r="352" spans="1:9" ht="47.25" outlineLevel="3" x14ac:dyDescent="0.25">
      <c r="A352" s="10" t="s">
        <v>21</v>
      </c>
      <c r="B352" s="6" t="s">
        <v>298</v>
      </c>
      <c r="C352" s="6" t="s">
        <v>1</v>
      </c>
      <c r="D352" s="16" t="s">
        <v>2</v>
      </c>
      <c r="E352" s="16" t="s">
        <v>2</v>
      </c>
      <c r="F352" s="47">
        <f>F353+F354+F355</f>
        <v>24218.999999999996</v>
      </c>
      <c r="G352" s="47">
        <f t="shared" ref="G352:H352" si="163">G353+G354+G355</f>
        <v>24218.999999999996</v>
      </c>
      <c r="H352" s="47">
        <f t="shared" si="163"/>
        <v>24218.999999999996</v>
      </c>
      <c r="I352" s="4"/>
    </row>
    <row r="353" spans="1:9" ht="110.25" outlineLevel="4" x14ac:dyDescent="0.25">
      <c r="A353" s="10" t="s">
        <v>10</v>
      </c>
      <c r="B353" s="6" t="s">
        <v>298</v>
      </c>
      <c r="C353" s="6" t="s">
        <v>11</v>
      </c>
      <c r="D353" s="16" t="s">
        <v>113</v>
      </c>
      <c r="E353" s="16" t="s">
        <v>81</v>
      </c>
      <c r="F353" s="47">
        <v>21996.3</v>
      </c>
      <c r="G353" s="47">
        <v>21996.3</v>
      </c>
      <c r="H353" s="47">
        <v>21996.3</v>
      </c>
      <c r="I353" s="4"/>
    </row>
    <row r="354" spans="1:9" ht="47.25" outlineLevel="4" x14ac:dyDescent="0.25">
      <c r="A354" s="10" t="s">
        <v>15</v>
      </c>
      <c r="B354" s="6" t="s">
        <v>298</v>
      </c>
      <c r="C354" s="6" t="s">
        <v>16</v>
      </c>
      <c r="D354" s="16" t="s">
        <v>113</v>
      </c>
      <c r="E354" s="16" t="s">
        <v>81</v>
      </c>
      <c r="F354" s="47">
        <v>2211.6</v>
      </c>
      <c r="G354" s="47">
        <v>2211.6</v>
      </c>
      <c r="H354" s="47">
        <v>2211.6</v>
      </c>
      <c r="I354" s="4"/>
    </row>
    <row r="355" spans="1:9" outlineLevel="4" x14ac:dyDescent="0.25">
      <c r="A355" s="10" t="s">
        <v>19</v>
      </c>
      <c r="B355" s="6" t="s">
        <v>298</v>
      </c>
      <c r="C355" s="6" t="s">
        <v>20</v>
      </c>
      <c r="D355" s="16" t="s">
        <v>113</v>
      </c>
      <c r="E355" s="16" t="s">
        <v>81</v>
      </c>
      <c r="F355" s="47">
        <v>11.1</v>
      </c>
      <c r="G355" s="47">
        <v>11.1</v>
      </c>
      <c r="H355" s="47">
        <v>11.1</v>
      </c>
      <c r="I355" s="4"/>
    </row>
    <row r="356" spans="1:9" ht="63" outlineLevel="3" x14ac:dyDescent="0.25">
      <c r="A356" s="10" t="s">
        <v>299</v>
      </c>
      <c r="B356" s="6" t="s">
        <v>300</v>
      </c>
      <c r="C356" s="6" t="s">
        <v>1</v>
      </c>
      <c r="D356" s="16" t="s">
        <v>2</v>
      </c>
      <c r="E356" s="16" t="s">
        <v>2</v>
      </c>
      <c r="F356" s="47">
        <f>F357+F358</f>
        <v>4126.0999999999995</v>
      </c>
      <c r="G356" s="47">
        <f t="shared" ref="G356:H356" si="164">G357+G358</f>
        <v>4126.0999999999995</v>
      </c>
      <c r="H356" s="47">
        <f t="shared" si="164"/>
        <v>4126.0999999999995</v>
      </c>
      <c r="I356" s="4"/>
    </row>
    <row r="357" spans="1:9" ht="110.25" outlineLevel="4" x14ac:dyDescent="0.25">
      <c r="A357" s="10" t="s">
        <v>10</v>
      </c>
      <c r="B357" s="6" t="s">
        <v>300</v>
      </c>
      <c r="C357" s="6" t="s">
        <v>11</v>
      </c>
      <c r="D357" s="16" t="s">
        <v>113</v>
      </c>
      <c r="E357" s="16" t="s">
        <v>81</v>
      </c>
      <c r="F357" s="47">
        <v>3539.2</v>
      </c>
      <c r="G357" s="47">
        <v>3539.2</v>
      </c>
      <c r="H357" s="47">
        <v>3539.2</v>
      </c>
      <c r="I357" s="4"/>
    </row>
    <row r="358" spans="1:9" ht="47.25" outlineLevel="4" x14ac:dyDescent="0.25">
      <c r="A358" s="10" t="s">
        <v>15</v>
      </c>
      <c r="B358" s="6" t="s">
        <v>300</v>
      </c>
      <c r="C358" s="6" t="s">
        <v>16</v>
      </c>
      <c r="D358" s="16" t="s">
        <v>113</v>
      </c>
      <c r="E358" s="16" t="s">
        <v>81</v>
      </c>
      <c r="F358" s="47">
        <v>586.9</v>
      </c>
      <c r="G358" s="47">
        <v>586.9</v>
      </c>
      <c r="H358" s="47">
        <v>586.9</v>
      </c>
      <c r="I358" s="4"/>
    </row>
    <row r="359" spans="1:9" s="7" customFormat="1" ht="63" x14ac:dyDescent="0.25">
      <c r="A359" s="31" t="s">
        <v>301</v>
      </c>
      <c r="B359" s="32" t="s">
        <v>302</v>
      </c>
      <c r="C359" s="32" t="s">
        <v>1</v>
      </c>
      <c r="D359" s="33" t="s">
        <v>2</v>
      </c>
      <c r="E359" s="33" t="s">
        <v>2</v>
      </c>
      <c r="F359" s="48">
        <f>F360+F386+F390+F404+F410+F416+F427+F438</f>
        <v>176725.927</v>
      </c>
      <c r="G359" s="48">
        <f t="shared" ref="G359:H359" si="165">G360+G386+G390+G404+G410+G416+G427+G438</f>
        <v>147662.204</v>
      </c>
      <c r="H359" s="48">
        <f t="shared" si="165"/>
        <v>140973.50799999997</v>
      </c>
      <c r="I359" s="8"/>
    </row>
    <row r="360" spans="1:9" s="13" customFormat="1" ht="63" outlineLevel="1" x14ac:dyDescent="0.25">
      <c r="A360" s="28" t="s">
        <v>303</v>
      </c>
      <c r="B360" s="29" t="s">
        <v>304</v>
      </c>
      <c r="C360" s="29" t="s">
        <v>1</v>
      </c>
      <c r="D360" s="30" t="s">
        <v>2</v>
      </c>
      <c r="E360" s="30" t="s">
        <v>2</v>
      </c>
      <c r="F360" s="46">
        <f>F361+F374+F379</f>
        <v>18004.2</v>
      </c>
      <c r="G360" s="46">
        <f t="shared" ref="G360:H360" si="166">G361+G374+G379</f>
        <v>16389.099999999999</v>
      </c>
      <c r="H360" s="46">
        <f t="shared" si="166"/>
        <v>16408.3</v>
      </c>
      <c r="I360" s="12"/>
    </row>
    <row r="361" spans="1:9" ht="47.25" outlineLevel="2" x14ac:dyDescent="0.25">
      <c r="A361" s="10" t="s">
        <v>6</v>
      </c>
      <c r="B361" s="6" t="s">
        <v>305</v>
      </c>
      <c r="C361" s="6" t="s">
        <v>1</v>
      </c>
      <c r="D361" s="16" t="s">
        <v>2</v>
      </c>
      <c r="E361" s="16" t="s">
        <v>2</v>
      </c>
      <c r="F361" s="47">
        <f>F362+F367+F369+F371+F365</f>
        <v>15476.032999999999</v>
      </c>
      <c r="G361" s="47">
        <f t="shared" ref="G361:H361" si="167">G362+G367+G369+G371+G365</f>
        <v>14791.3</v>
      </c>
      <c r="H361" s="47">
        <f t="shared" si="167"/>
        <v>14791.3</v>
      </c>
      <c r="I361" s="4"/>
    </row>
    <row r="362" spans="1:9" ht="47.25" outlineLevel="3" x14ac:dyDescent="0.25">
      <c r="A362" s="10" t="s">
        <v>8</v>
      </c>
      <c r="B362" s="6" t="s">
        <v>306</v>
      </c>
      <c r="C362" s="6" t="s">
        <v>1</v>
      </c>
      <c r="D362" s="16" t="s">
        <v>2</v>
      </c>
      <c r="E362" s="16" t="s">
        <v>2</v>
      </c>
      <c r="F362" s="47">
        <f>F363+F364</f>
        <v>6522.9</v>
      </c>
      <c r="G362" s="47">
        <f t="shared" ref="G362:H362" si="168">G363+G364</f>
        <v>6522.9</v>
      </c>
      <c r="H362" s="47">
        <f t="shared" si="168"/>
        <v>6522.9</v>
      </c>
      <c r="I362" s="4"/>
    </row>
    <row r="363" spans="1:9" ht="110.25" outlineLevel="4" x14ac:dyDescent="0.25">
      <c r="A363" s="10" t="s">
        <v>10</v>
      </c>
      <c r="B363" s="6" t="s">
        <v>306</v>
      </c>
      <c r="C363" s="6" t="s">
        <v>11</v>
      </c>
      <c r="D363" s="16" t="s">
        <v>14</v>
      </c>
      <c r="E363" s="16" t="s">
        <v>14</v>
      </c>
      <c r="F363" s="47">
        <v>6164</v>
      </c>
      <c r="G363" s="47">
        <v>6164</v>
      </c>
      <c r="H363" s="47">
        <v>6164</v>
      </c>
      <c r="I363" s="4"/>
    </row>
    <row r="364" spans="1:9" ht="47.25" outlineLevel="4" x14ac:dyDescent="0.25">
      <c r="A364" s="10" t="s">
        <v>15</v>
      </c>
      <c r="B364" s="6" t="s">
        <v>306</v>
      </c>
      <c r="C364" s="6" t="s">
        <v>16</v>
      </c>
      <c r="D364" s="16" t="s">
        <v>14</v>
      </c>
      <c r="E364" s="16" t="s">
        <v>14</v>
      </c>
      <c r="F364" s="47">
        <v>358.9</v>
      </c>
      <c r="G364" s="47">
        <v>358.9</v>
      </c>
      <c r="H364" s="47">
        <v>358.9</v>
      </c>
      <c r="I364" s="4"/>
    </row>
    <row r="365" spans="1:9" outlineLevel="4" x14ac:dyDescent="0.25">
      <c r="A365" s="10" t="s">
        <v>624</v>
      </c>
      <c r="B365" s="16" t="s">
        <v>625</v>
      </c>
      <c r="C365" s="6" t="s">
        <v>1</v>
      </c>
      <c r="D365" s="6" t="s">
        <v>14</v>
      </c>
      <c r="E365" s="6" t="s">
        <v>14</v>
      </c>
      <c r="F365" s="47">
        <f>F366</f>
        <v>684.73300000000006</v>
      </c>
      <c r="G365" s="47">
        <f t="shared" ref="G365:H365" si="169">G366</f>
        <v>0</v>
      </c>
      <c r="H365" s="47">
        <f t="shared" si="169"/>
        <v>0</v>
      </c>
      <c r="I365" s="4"/>
    </row>
    <row r="366" spans="1:9" outlineLevel="4" x14ac:dyDescent="0.25">
      <c r="A366" s="10" t="s">
        <v>621</v>
      </c>
      <c r="B366" s="16" t="s">
        <v>625</v>
      </c>
      <c r="C366" s="6" t="s">
        <v>20</v>
      </c>
      <c r="D366" s="6" t="s">
        <v>14</v>
      </c>
      <c r="E366" s="6" t="s">
        <v>14</v>
      </c>
      <c r="F366" s="47">
        <f>683.34+1.393</f>
        <v>684.73300000000006</v>
      </c>
      <c r="G366" s="47">
        <v>0</v>
      </c>
      <c r="H366" s="47">
        <v>0</v>
      </c>
      <c r="I366" s="4"/>
    </row>
    <row r="367" spans="1:9" ht="47.25" outlineLevel="3" x14ac:dyDescent="0.25">
      <c r="A367" s="10" t="s">
        <v>307</v>
      </c>
      <c r="B367" s="6" t="s">
        <v>308</v>
      </c>
      <c r="C367" s="6" t="s">
        <v>1</v>
      </c>
      <c r="D367" s="16" t="s">
        <v>2</v>
      </c>
      <c r="E367" s="16" t="s">
        <v>2</v>
      </c>
      <c r="F367" s="47">
        <f>F368</f>
        <v>161.5</v>
      </c>
      <c r="G367" s="47">
        <f t="shared" ref="G367:H367" si="170">G368</f>
        <v>161.5</v>
      </c>
      <c r="H367" s="47">
        <f t="shared" si="170"/>
        <v>161.5</v>
      </c>
      <c r="I367" s="4"/>
    </row>
    <row r="368" spans="1:9" ht="47.25" outlineLevel="4" x14ac:dyDescent="0.25">
      <c r="A368" s="10" t="s">
        <v>15</v>
      </c>
      <c r="B368" s="6" t="s">
        <v>308</v>
      </c>
      <c r="C368" s="6" t="s">
        <v>16</v>
      </c>
      <c r="D368" s="16" t="s">
        <v>14</v>
      </c>
      <c r="E368" s="16" t="s">
        <v>14</v>
      </c>
      <c r="F368" s="47">
        <v>161.5</v>
      </c>
      <c r="G368" s="47">
        <v>161.5</v>
      </c>
      <c r="H368" s="47">
        <v>161.5</v>
      </c>
      <c r="I368" s="4"/>
    </row>
    <row r="369" spans="1:9" ht="78.75" outlineLevel="3" x14ac:dyDescent="0.25">
      <c r="A369" s="10" t="s">
        <v>309</v>
      </c>
      <c r="B369" s="6" t="s">
        <v>310</v>
      </c>
      <c r="C369" s="6" t="s">
        <v>1</v>
      </c>
      <c r="D369" s="16" t="s">
        <v>2</v>
      </c>
      <c r="E369" s="16" t="s">
        <v>2</v>
      </c>
      <c r="F369" s="47">
        <f>F370</f>
        <v>388</v>
      </c>
      <c r="G369" s="47">
        <f t="shared" ref="G369:H369" si="171">G370</f>
        <v>388</v>
      </c>
      <c r="H369" s="47">
        <f t="shared" si="171"/>
        <v>388</v>
      </c>
      <c r="I369" s="4"/>
    </row>
    <row r="370" spans="1:9" ht="110.25" outlineLevel="4" x14ac:dyDescent="0.25">
      <c r="A370" s="10" t="s">
        <v>10</v>
      </c>
      <c r="B370" s="6" t="s">
        <v>310</v>
      </c>
      <c r="C370" s="6" t="s">
        <v>11</v>
      </c>
      <c r="D370" s="16" t="s">
        <v>14</v>
      </c>
      <c r="E370" s="16" t="s">
        <v>14</v>
      </c>
      <c r="F370" s="47">
        <v>388</v>
      </c>
      <c r="G370" s="47">
        <v>388</v>
      </c>
      <c r="H370" s="47">
        <v>388</v>
      </c>
      <c r="I370" s="4"/>
    </row>
    <row r="371" spans="1:9" ht="63" outlineLevel="3" x14ac:dyDescent="0.25">
      <c r="A371" s="10" t="s">
        <v>311</v>
      </c>
      <c r="B371" s="6" t="s">
        <v>312</v>
      </c>
      <c r="C371" s="6" t="s">
        <v>1</v>
      </c>
      <c r="D371" s="16" t="s">
        <v>2</v>
      </c>
      <c r="E371" s="16" t="s">
        <v>2</v>
      </c>
      <c r="F371" s="47">
        <f>F372+F373</f>
        <v>7718.9000000000005</v>
      </c>
      <c r="G371" s="47">
        <f t="shared" ref="G371:H371" si="172">G372+G373</f>
        <v>7718.9000000000005</v>
      </c>
      <c r="H371" s="47">
        <f t="shared" si="172"/>
        <v>7718.9000000000005</v>
      </c>
      <c r="I371" s="4"/>
    </row>
    <row r="372" spans="1:9" ht="110.25" outlineLevel="4" x14ac:dyDescent="0.25">
      <c r="A372" s="10" t="s">
        <v>10</v>
      </c>
      <c r="B372" s="6" t="s">
        <v>312</v>
      </c>
      <c r="C372" s="6" t="s">
        <v>11</v>
      </c>
      <c r="D372" s="16" t="s">
        <v>14</v>
      </c>
      <c r="E372" s="16" t="s">
        <v>14</v>
      </c>
      <c r="F372" s="47">
        <v>6356.1</v>
      </c>
      <c r="G372" s="47">
        <v>6356.1</v>
      </c>
      <c r="H372" s="47">
        <v>6356.1</v>
      </c>
      <c r="I372" s="4"/>
    </row>
    <row r="373" spans="1:9" ht="47.25" outlineLevel="4" x14ac:dyDescent="0.25">
      <c r="A373" s="10" t="s">
        <v>15</v>
      </c>
      <c r="B373" s="6" t="s">
        <v>312</v>
      </c>
      <c r="C373" s="6" t="s">
        <v>16</v>
      </c>
      <c r="D373" s="16" t="s">
        <v>14</v>
      </c>
      <c r="E373" s="16" t="s">
        <v>14</v>
      </c>
      <c r="F373" s="47">
        <v>1362.8</v>
      </c>
      <c r="G373" s="47">
        <v>1362.8</v>
      </c>
      <c r="H373" s="47">
        <v>1362.8</v>
      </c>
      <c r="I373" s="4"/>
    </row>
    <row r="374" spans="1:9" ht="63" outlineLevel="2" x14ac:dyDescent="0.25">
      <c r="A374" s="10" t="s">
        <v>313</v>
      </c>
      <c r="B374" s="6" t="s">
        <v>314</v>
      </c>
      <c r="C374" s="6" t="s">
        <v>1</v>
      </c>
      <c r="D374" s="16" t="s">
        <v>2</v>
      </c>
      <c r="E374" s="16" t="s">
        <v>2</v>
      </c>
      <c r="F374" s="47">
        <f>F375+F377</f>
        <v>1693.4</v>
      </c>
      <c r="G374" s="47">
        <f t="shared" ref="G374:H374" si="173">G375+G377</f>
        <v>1422.4</v>
      </c>
      <c r="H374" s="47">
        <f t="shared" si="173"/>
        <v>1441.6</v>
      </c>
      <c r="I374" s="4"/>
    </row>
    <row r="375" spans="1:9" ht="63" outlineLevel="3" x14ac:dyDescent="0.25">
      <c r="A375" s="10" t="s">
        <v>315</v>
      </c>
      <c r="B375" s="6" t="s">
        <v>316</v>
      </c>
      <c r="C375" s="6" t="s">
        <v>1</v>
      </c>
      <c r="D375" s="16" t="s">
        <v>2</v>
      </c>
      <c r="E375" s="16" t="s">
        <v>2</v>
      </c>
      <c r="F375" s="47">
        <f>F376</f>
        <v>1193.4000000000001</v>
      </c>
      <c r="G375" s="47">
        <f t="shared" ref="G375:H375" si="174">G376</f>
        <v>1209.4000000000001</v>
      </c>
      <c r="H375" s="47">
        <f t="shared" si="174"/>
        <v>1228.5999999999999</v>
      </c>
      <c r="I375" s="4"/>
    </row>
    <row r="376" spans="1:9" ht="47.25" outlineLevel="4" x14ac:dyDescent="0.25">
      <c r="A376" s="10" t="s">
        <v>15</v>
      </c>
      <c r="B376" s="6" t="s">
        <v>316</v>
      </c>
      <c r="C376" s="6" t="s">
        <v>16</v>
      </c>
      <c r="D376" s="16" t="s">
        <v>14</v>
      </c>
      <c r="E376" s="16" t="s">
        <v>12</v>
      </c>
      <c r="F376" s="47">
        <v>1193.4000000000001</v>
      </c>
      <c r="G376" s="47">
        <v>1209.4000000000001</v>
      </c>
      <c r="H376" s="47">
        <v>1228.5999999999999</v>
      </c>
      <c r="I376" s="4"/>
    </row>
    <row r="377" spans="1:9" ht="63" outlineLevel="3" x14ac:dyDescent="0.25">
      <c r="A377" s="10" t="s">
        <v>317</v>
      </c>
      <c r="B377" s="6" t="s">
        <v>318</v>
      </c>
      <c r="C377" s="6" t="s">
        <v>1</v>
      </c>
      <c r="D377" s="16" t="s">
        <v>2</v>
      </c>
      <c r="E377" s="16" t="s">
        <v>2</v>
      </c>
      <c r="F377" s="47">
        <f>F378</f>
        <v>500</v>
      </c>
      <c r="G377" s="47">
        <f t="shared" ref="G377:H377" si="175">G378</f>
        <v>213</v>
      </c>
      <c r="H377" s="47">
        <f t="shared" si="175"/>
        <v>213</v>
      </c>
      <c r="I377" s="4"/>
    </row>
    <row r="378" spans="1:9" ht="47.25" outlineLevel="4" x14ac:dyDescent="0.25">
      <c r="A378" s="10" t="s">
        <v>15</v>
      </c>
      <c r="B378" s="6" t="s">
        <v>318</v>
      </c>
      <c r="C378" s="6" t="s">
        <v>16</v>
      </c>
      <c r="D378" s="16" t="s">
        <v>14</v>
      </c>
      <c r="E378" s="16" t="s">
        <v>12</v>
      </c>
      <c r="F378" s="47">
        <v>500</v>
      </c>
      <c r="G378" s="47">
        <v>213</v>
      </c>
      <c r="H378" s="47">
        <v>213</v>
      </c>
      <c r="I378" s="4"/>
    </row>
    <row r="379" spans="1:9" ht="63" outlineLevel="2" x14ac:dyDescent="0.25">
      <c r="A379" s="10" t="s">
        <v>319</v>
      </c>
      <c r="B379" s="6" t="s">
        <v>320</v>
      </c>
      <c r="C379" s="6" t="s">
        <v>1</v>
      </c>
      <c r="D379" s="16" t="s">
        <v>2</v>
      </c>
      <c r="E379" s="16" t="s">
        <v>2</v>
      </c>
      <c r="F379" s="47">
        <f>F380+F382+F384</f>
        <v>834.76699999999983</v>
      </c>
      <c r="G379" s="47">
        <f t="shared" ref="G379:H379" si="176">G380+G382+G384</f>
        <v>175.4</v>
      </c>
      <c r="H379" s="47">
        <f t="shared" si="176"/>
        <v>175.4</v>
      </c>
      <c r="I379" s="4"/>
    </row>
    <row r="380" spans="1:9" ht="94.5" outlineLevel="3" x14ac:dyDescent="0.25">
      <c r="A380" s="10" t="s">
        <v>321</v>
      </c>
      <c r="B380" s="6" t="s">
        <v>322</v>
      </c>
      <c r="C380" s="6" t="s">
        <v>1</v>
      </c>
      <c r="D380" s="16" t="s">
        <v>2</v>
      </c>
      <c r="E380" s="16" t="s">
        <v>2</v>
      </c>
      <c r="F380" s="47">
        <f>F381</f>
        <v>130.4</v>
      </c>
      <c r="G380" s="47">
        <f t="shared" ref="G380:H380" si="177">G381</f>
        <v>130.4</v>
      </c>
      <c r="H380" s="47">
        <f t="shared" si="177"/>
        <v>130.4</v>
      </c>
      <c r="I380" s="4"/>
    </row>
    <row r="381" spans="1:9" ht="31.5" outlineLevel="4" x14ac:dyDescent="0.25">
      <c r="A381" s="10" t="s">
        <v>66</v>
      </c>
      <c r="B381" s="6" t="s">
        <v>322</v>
      </c>
      <c r="C381" s="6" t="s">
        <v>67</v>
      </c>
      <c r="D381" s="16" t="s">
        <v>14</v>
      </c>
      <c r="E381" s="16" t="s">
        <v>12</v>
      </c>
      <c r="F381" s="47">
        <v>130.4</v>
      </c>
      <c r="G381" s="47">
        <v>130.4</v>
      </c>
      <c r="H381" s="47">
        <v>130.4</v>
      </c>
      <c r="I381" s="4"/>
    </row>
    <row r="382" spans="1:9" ht="94.5" outlineLevel="3" x14ac:dyDescent="0.25">
      <c r="A382" s="10" t="s">
        <v>323</v>
      </c>
      <c r="B382" s="6" t="s">
        <v>324</v>
      </c>
      <c r="C382" s="6" t="s">
        <v>1</v>
      </c>
      <c r="D382" s="16" t="s">
        <v>2</v>
      </c>
      <c r="E382" s="16" t="s">
        <v>2</v>
      </c>
      <c r="F382" s="47">
        <f>F383</f>
        <v>25</v>
      </c>
      <c r="G382" s="47">
        <f t="shared" ref="G382:H382" si="178">G383</f>
        <v>25</v>
      </c>
      <c r="H382" s="47">
        <f t="shared" si="178"/>
        <v>25</v>
      </c>
      <c r="I382" s="4"/>
    </row>
    <row r="383" spans="1:9" ht="31.5" outlineLevel="4" x14ac:dyDescent="0.25">
      <c r="A383" s="10" t="s">
        <v>66</v>
      </c>
      <c r="B383" s="6" t="s">
        <v>324</v>
      </c>
      <c r="C383" s="6" t="s">
        <v>67</v>
      </c>
      <c r="D383" s="16" t="s">
        <v>14</v>
      </c>
      <c r="E383" s="16" t="s">
        <v>12</v>
      </c>
      <c r="F383" s="47">
        <v>25</v>
      </c>
      <c r="G383" s="47">
        <v>25</v>
      </c>
      <c r="H383" s="47">
        <v>25</v>
      </c>
      <c r="I383" s="4"/>
    </row>
    <row r="384" spans="1:9" ht="63" outlineLevel="3" x14ac:dyDescent="0.25">
      <c r="A384" s="10" t="s">
        <v>325</v>
      </c>
      <c r="B384" s="6" t="s">
        <v>326</v>
      </c>
      <c r="C384" s="6" t="s">
        <v>1</v>
      </c>
      <c r="D384" s="16" t="s">
        <v>2</v>
      </c>
      <c r="E384" s="16" t="s">
        <v>2</v>
      </c>
      <c r="F384" s="47">
        <f>F385</f>
        <v>679.36699999999985</v>
      </c>
      <c r="G384" s="47">
        <f t="shared" ref="G384:H384" si="179">G385</f>
        <v>20</v>
      </c>
      <c r="H384" s="47">
        <f t="shared" si="179"/>
        <v>20</v>
      </c>
      <c r="I384" s="4"/>
    </row>
    <row r="385" spans="1:9" outlineLevel="4" x14ac:dyDescent="0.25">
      <c r="A385" s="10" t="s">
        <v>19</v>
      </c>
      <c r="B385" s="6" t="s">
        <v>326</v>
      </c>
      <c r="C385" s="6" t="s">
        <v>20</v>
      </c>
      <c r="D385" s="16" t="s">
        <v>14</v>
      </c>
      <c r="E385" s="16" t="s">
        <v>12</v>
      </c>
      <c r="F385" s="47">
        <f>1366.1-683.34-1.393-2</f>
        <v>679.36699999999985</v>
      </c>
      <c r="G385" s="47">
        <v>20</v>
      </c>
      <c r="H385" s="47">
        <v>20</v>
      </c>
      <c r="I385" s="4"/>
    </row>
    <row r="386" spans="1:9" s="13" customFormat="1" ht="31.5" outlineLevel="1" x14ac:dyDescent="0.25">
      <c r="A386" s="28" t="s">
        <v>327</v>
      </c>
      <c r="B386" s="29" t="s">
        <v>328</v>
      </c>
      <c r="C386" s="29" t="s">
        <v>1</v>
      </c>
      <c r="D386" s="30" t="s">
        <v>2</v>
      </c>
      <c r="E386" s="30" t="s">
        <v>2</v>
      </c>
      <c r="F386" s="46">
        <f>F387</f>
        <v>12851.699999999999</v>
      </c>
      <c r="G386" s="46">
        <f t="shared" ref="G386:H387" si="180">G387</f>
        <v>13349.3</v>
      </c>
      <c r="H386" s="46">
        <f t="shared" si="180"/>
        <v>3000</v>
      </c>
      <c r="I386" s="12"/>
    </row>
    <row r="387" spans="1:9" ht="63" outlineLevel="2" x14ac:dyDescent="0.25">
      <c r="A387" s="10" t="s">
        <v>329</v>
      </c>
      <c r="B387" s="6" t="s">
        <v>330</v>
      </c>
      <c r="C387" s="6" t="s">
        <v>1</v>
      </c>
      <c r="D387" s="16" t="s">
        <v>2</v>
      </c>
      <c r="E387" s="16" t="s">
        <v>2</v>
      </c>
      <c r="F387" s="47">
        <f>F388</f>
        <v>12851.699999999999</v>
      </c>
      <c r="G387" s="47">
        <f t="shared" si="180"/>
        <v>13349.3</v>
      </c>
      <c r="H387" s="47">
        <f t="shared" si="180"/>
        <v>3000</v>
      </c>
      <c r="I387" s="4"/>
    </row>
    <row r="388" spans="1:9" ht="31.5" outlineLevel="3" x14ac:dyDescent="0.25">
      <c r="A388" s="10" t="s">
        <v>331</v>
      </c>
      <c r="B388" s="6" t="s">
        <v>332</v>
      </c>
      <c r="C388" s="6" t="s">
        <v>1</v>
      </c>
      <c r="D388" s="16" t="s">
        <v>2</v>
      </c>
      <c r="E388" s="16" t="s">
        <v>2</v>
      </c>
      <c r="F388" s="47">
        <f>F389</f>
        <v>12851.699999999999</v>
      </c>
      <c r="G388" s="47">
        <f t="shared" ref="G388:H388" si="181">G389</f>
        <v>13349.3</v>
      </c>
      <c r="H388" s="47">
        <f t="shared" si="181"/>
        <v>3000</v>
      </c>
      <c r="I388" s="4"/>
    </row>
    <row r="389" spans="1:9" ht="31.5" outlineLevel="4" x14ac:dyDescent="0.25">
      <c r="A389" s="10" t="s">
        <v>66</v>
      </c>
      <c r="B389" s="6" t="s">
        <v>332</v>
      </c>
      <c r="C389" s="6" t="s">
        <v>67</v>
      </c>
      <c r="D389" s="16" t="s">
        <v>68</v>
      </c>
      <c r="E389" s="16" t="s">
        <v>44</v>
      </c>
      <c r="F389" s="47">
        <f>13039.4-187.7</f>
        <v>12851.699999999999</v>
      </c>
      <c r="G389" s="47">
        <v>13349.3</v>
      </c>
      <c r="H389" s="47">
        <v>3000</v>
      </c>
      <c r="I389" s="4"/>
    </row>
    <row r="390" spans="1:9" s="13" customFormat="1" ht="78.75" outlineLevel="1" x14ac:dyDescent="0.25">
      <c r="A390" s="28" t="s">
        <v>333</v>
      </c>
      <c r="B390" s="29" t="s">
        <v>334</v>
      </c>
      <c r="C390" s="29" t="s">
        <v>1</v>
      </c>
      <c r="D390" s="30" t="s">
        <v>2</v>
      </c>
      <c r="E390" s="30" t="s">
        <v>2</v>
      </c>
      <c r="F390" s="46">
        <f>F391+F396+F399</f>
        <v>48757.553</v>
      </c>
      <c r="G390" s="46">
        <f t="shared" ref="G390:H390" si="182">G391+G396+G399</f>
        <v>16868.903999999999</v>
      </c>
      <c r="H390" s="46">
        <f t="shared" si="182"/>
        <v>37005.508000000002</v>
      </c>
      <c r="I390" s="12"/>
    </row>
    <row r="391" spans="1:9" ht="47.25" outlineLevel="2" x14ac:dyDescent="0.25">
      <c r="A391" s="10" t="s">
        <v>335</v>
      </c>
      <c r="B391" s="6" t="s">
        <v>336</v>
      </c>
      <c r="C391" s="6" t="s">
        <v>1</v>
      </c>
      <c r="D391" s="16" t="s">
        <v>2</v>
      </c>
      <c r="E391" s="16" t="s">
        <v>2</v>
      </c>
      <c r="F391" s="47">
        <f>F392+F394</f>
        <v>1329.4079999999999</v>
      </c>
      <c r="G391" s="47">
        <f t="shared" ref="G391:H391" si="183">G392+G394</f>
        <v>664.70399999999995</v>
      </c>
      <c r="H391" s="47">
        <f t="shared" si="183"/>
        <v>1329.4079999999999</v>
      </c>
      <c r="I391" s="4"/>
    </row>
    <row r="392" spans="1:9" ht="78.75" outlineLevel="3" x14ac:dyDescent="0.25">
      <c r="A392" s="10" t="s">
        <v>337</v>
      </c>
      <c r="B392" s="6" t="s">
        <v>338</v>
      </c>
      <c r="C392" s="6" t="s">
        <v>1</v>
      </c>
      <c r="D392" s="16" t="s">
        <v>2</v>
      </c>
      <c r="E392" s="16" t="s">
        <v>2</v>
      </c>
      <c r="F392" s="47">
        <f>F393</f>
        <v>664.70399999999995</v>
      </c>
      <c r="G392" s="47">
        <f t="shared" ref="G392:H392" si="184">G393</f>
        <v>0</v>
      </c>
      <c r="H392" s="47">
        <f t="shared" si="184"/>
        <v>664.70399999999995</v>
      </c>
      <c r="I392" s="4"/>
    </row>
    <row r="393" spans="1:9" ht="31.5" outlineLevel="4" x14ac:dyDescent="0.25">
      <c r="A393" s="10" t="s">
        <v>66</v>
      </c>
      <c r="B393" s="6" t="s">
        <v>338</v>
      </c>
      <c r="C393" s="6" t="s">
        <v>67</v>
      </c>
      <c r="D393" s="16" t="s">
        <v>68</v>
      </c>
      <c r="E393" s="16" t="s">
        <v>29</v>
      </c>
      <c r="F393" s="47">
        <v>664.70399999999995</v>
      </c>
      <c r="G393" s="47">
        <v>0</v>
      </c>
      <c r="H393" s="47">
        <v>664.70399999999995</v>
      </c>
      <c r="I393" s="4"/>
    </row>
    <row r="394" spans="1:9" ht="94.5" outlineLevel="3" x14ac:dyDescent="0.25">
      <c r="A394" s="10" t="s">
        <v>339</v>
      </c>
      <c r="B394" s="6" t="s">
        <v>340</v>
      </c>
      <c r="C394" s="6" t="s">
        <v>1</v>
      </c>
      <c r="D394" s="16" t="s">
        <v>2</v>
      </c>
      <c r="E394" s="16" t="s">
        <v>2</v>
      </c>
      <c r="F394" s="47">
        <f>F395</f>
        <v>664.70399999999995</v>
      </c>
      <c r="G394" s="47">
        <f t="shared" ref="G394:H394" si="185">G395</f>
        <v>664.70399999999995</v>
      </c>
      <c r="H394" s="47">
        <f t="shared" si="185"/>
        <v>664.70399999999995</v>
      </c>
      <c r="I394" s="4"/>
    </row>
    <row r="395" spans="1:9" ht="31.5" outlineLevel="4" x14ac:dyDescent="0.25">
      <c r="A395" s="10" t="s">
        <v>66</v>
      </c>
      <c r="B395" s="6" t="s">
        <v>340</v>
      </c>
      <c r="C395" s="6" t="s">
        <v>67</v>
      </c>
      <c r="D395" s="16" t="s">
        <v>68</v>
      </c>
      <c r="E395" s="16" t="s">
        <v>29</v>
      </c>
      <c r="F395" s="47">
        <v>664.70399999999995</v>
      </c>
      <c r="G395" s="47">
        <v>664.70399999999995</v>
      </c>
      <c r="H395" s="47">
        <v>664.70399999999995</v>
      </c>
      <c r="I395" s="4"/>
    </row>
    <row r="396" spans="1:9" ht="157.5" outlineLevel="2" x14ac:dyDescent="0.25">
      <c r="A396" s="10" t="s">
        <v>341</v>
      </c>
      <c r="B396" s="6" t="s">
        <v>342</v>
      </c>
      <c r="C396" s="6" t="s">
        <v>1</v>
      </c>
      <c r="D396" s="16" t="s">
        <v>2</v>
      </c>
      <c r="E396" s="16" t="s">
        <v>2</v>
      </c>
      <c r="F396" s="47">
        <f>F397</f>
        <v>1163.2329999999999</v>
      </c>
      <c r="G396" s="47">
        <f t="shared" ref="G396:H396" si="186">G397</f>
        <v>1203.2</v>
      </c>
      <c r="H396" s="47">
        <f t="shared" si="186"/>
        <v>1583</v>
      </c>
      <c r="I396" s="4"/>
    </row>
    <row r="397" spans="1:9" ht="126" outlineLevel="3" x14ac:dyDescent="0.25">
      <c r="A397" s="10" t="s">
        <v>343</v>
      </c>
      <c r="B397" s="6" t="s">
        <v>344</v>
      </c>
      <c r="C397" s="6" t="s">
        <v>1</v>
      </c>
      <c r="D397" s="16" t="s">
        <v>2</v>
      </c>
      <c r="E397" s="16" t="s">
        <v>2</v>
      </c>
      <c r="F397" s="47">
        <f>F398</f>
        <v>1163.2329999999999</v>
      </c>
      <c r="G397" s="47">
        <f t="shared" ref="G397:H397" si="187">G398</f>
        <v>1203.2</v>
      </c>
      <c r="H397" s="47">
        <f t="shared" si="187"/>
        <v>1583</v>
      </c>
      <c r="I397" s="4"/>
    </row>
    <row r="398" spans="1:9" ht="31.5" outlineLevel="4" x14ac:dyDescent="0.25">
      <c r="A398" s="10" t="s">
        <v>66</v>
      </c>
      <c r="B398" s="6" t="s">
        <v>344</v>
      </c>
      <c r="C398" s="6" t="s">
        <v>67</v>
      </c>
      <c r="D398" s="16" t="s">
        <v>68</v>
      </c>
      <c r="E398" s="16" t="s">
        <v>29</v>
      </c>
      <c r="F398" s="47">
        <f>1255.8-92.57+0.003</f>
        <v>1163.2329999999999</v>
      </c>
      <c r="G398" s="47">
        <v>1203.2</v>
      </c>
      <c r="H398" s="47">
        <v>1583</v>
      </c>
      <c r="I398" s="4"/>
    </row>
    <row r="399" spans="1:9" ht="78.75" outlineLevel="2" x14ac:dyDescent="0.25">
      <c r="A399" s="10" t="s">
        <v>345</v>
      </c>
      <c r="B399" s="6" t="s">
        <v>346</v>
      </c>
      <c r="C399" s="6" t="s">
        <v>1</v>
      </c>
      <c r="D399" s="16" t="s">
        <v>2</v>
      </c>
      <c r="E399" s="16" t="s">
        <v>2</v>
      </c>
      <c r="F399" s="47">
        <f>F400+F402</f>
        <v>46264.912000000004</v>
      </c>
      <c r="G399" s="47">
        <f t="shared" ref="G399:H399" si="188">G400+G402</f>
        <v>15000.999999999998</v>
      </c>
      <c r="H399" s="47">
        <f t="shared" si="188"/>
        <v>34093.1</v>
      </c>
      <c r="I399" s="4"/>
    </row>
    <row r="400" spans="1:9" ht="78.75" outlineLevel="3" x14ac:dyDescent="0.25">
      <c r="A400" s="10" t="s">
        <v>347</v>
      </c>
      <c r="B400" s="6" t="s">
        <v>348</v>
      </c>
      <c r="C400" s="6" t="s">
        <v>1</v>
      </c>
      <c r="D400" s="16" t="s">
        <v>2</v>
      </c>
      <c r="E400" s="16" t="s">
        <v>2</v>
      </c>
      <c r="F400" s="47">
        <f>F401</f>
        <v>36719.012000000002</v>
      </c>
      <c r="G400" s="47">
        <f t="shared" ref="G400:H400" si="189">G401</f>
        <v>12273.599999999999</v>
      </c>
      <c r="H400" s="47">
        <f t="shared" si="189"/>
        <v>27274.6</v>
      </c>
      <c r="I400" s="4"/>
    </row>
    <row r="401" spans="1:9" ht="47.25" outlineLevel="4" x14ac:dyDescent="0.25">
      <c r="A401" s="10" t="s">
        <v>51</v>
      </c>
      <c r="B401" s="6" t="s">
        <v>348</v>
      </c>
      <c r="C401" s="6" t="s">
        <v>52</v>
      </c>
      <c r="D401" s="16" t="s">
        <v>68</v>
      </c>
      <c r="E401" s="16" t="s">
        <v>44</v>
      </c>
      <c r="F401" s="47">
        <f>39449.54-3992.54+1262.012</f>
        <v>36719.012000000002</v>
      </c>
      <c r="G401" s="47">
        <f>13149.88-876.28</f>
        <v>12273.599999999999</v>
      </c>
      <c r="H401" s="47">
        <f>29886.01-2611.41</f>
        <v>27274.6</v>
      </c>
      <c r="I401" s="4"/>
    </row>
    <row r="402" spans="1:9" ht="78.75" outlineLevel="3" x14ac:dyDescent="0.25">
      <c r="A402" s="10" t="s">
        <v>347</v>
      </c>
      <c r="B402" s="6" t="s">
        <v>349</v>
      </c>
      <c r="C402" s="6" t="s">
        <v>1</v>
      </c>
      <c r="D402" s="16" t="s">
        <v>2</v>
      </c>
      <c r="E402" s="16" t="s">
        <v>2</v>
      </c>
      <c r="F402" s="47">
        <f>F403</f>
        <v>9545.9</v>
      </c>
      <c r="G402" s="47">
        <f t="shared" ref="G402:H402" si="190">G403</f>
        <v>2727.3999999999996</v>
      </c>
      <c r="H402" s="47">
        <f t="shared" si="190"/>
        <v>6818.5</v>
      </c>
      <c r="I402" s="4"/>
    </row>
    <row r="403" spans="1:9" ht="47.25" outlineLevel="4" x14ac:dyDescent="0.25">
      <c r="A403" s="10" t="s">
        <v>51</v>
      </c>
      <c r="B403" s="6" t="s">
        <v>349</v>
      </c>
      <c r="C403" s="6" t="s">
        <v>52</v>
      </c>
      <c r="D403" s="16" t="s">
        <v>68</v>
      </c>
      <c r="E403" s="16" t="s">
        <v>44</v>
      </c>
      <c r="F403" s="47">
        <f>5553.36+3992.54</f>
        <v>9545.9</v>
      </c>
      <c r="G403" s="47">
        <f>1851.12+876.28</f>
        <v>2727.3999999999996</v>
      </c>
      <c r="H403" s="47">
        <f>4207.09+2611.41</f>
        <v>6818.5</v>
      </c>
      <c r="I403" s="4"/>
    </row>
    <row r="404" spans="1:9" s="13" customFormat="1" ht="31.5" outlineLevel="1" x14ac:dyDescent="0.25">
      <c r="A404" s="28" t="s">
        <v>350</v>
      </c>
      <c r="B404" s="29" t="s">
        <v>351</v>
      </c>
      <c r="C404" s="29" t="s">
        <v>1</v>
      </c>
      <c r="D404" s="30" t="s">
        <v>2</v>
      </c>
      <c r="E404" s="30" t="s">
        <v>2</v>
      </c>
      <c r="F404" s="46">
        <f>F405</f>
        <v>50069.4</v>
      </c>
      <c r="G404" s="46">
        <f t="shared" ref="G404:H404" si="191">G405</f>
        <v>46154</v>
      </c>
      <c r="H404" s="46">
        <f t="shared" si="191"/>
        <v>26912.6</v>
      </c>
      <c r="I404" s="12"/>
    </row>
    <row r="405" spans="1:9" ht="47.25" outlineLevel="2" x14ac:dyDescent="0.25">
      <c r="A405" s="10" t="s">
        <v>352</v>
      </c>
      <c r="B405" s="6" t="s">
        <v>353</v>
      </c>
      <c r="C405" s="6" t="s">
        <v>1</v>
      </c>
      <c r="D405" s="16" t="s">
        <v>2</v>
      </c>
      <c r="E405" s="16" t="s">
        <v>2</v>
      </c>
      <c r="F405" s="47">
        <f>F406+F408</f>
        <v>50069.4</v>
      </c>
      <c r="G405" s="47">
        <f t="shared" ref="G405:H405" si="192">G406+G408</f>
        <v>46154</v>
      </c>
      <c r="H405" s="47">
        <f t="shared" si="192"/>
        <v>26912.6</v>
      </c>
      <c r="I405" s="4"/>
    </row>
    <row r="406" spans="1:9" ht="63" outlineLevel="3" x14ac:dyDescent="0.25">
      <c r="A406" s="10" t="s">
        <v>354</v>
      </c>
      <c r="B406" s="6" t="s">
        <v>355</v>
      </c>
      <c r="C406" s="6" t="s">
        <v>1</v>
      </c>
      <c r="D406" s="16" t="s">
        <v>2</v>
      </c>
      <c r="E406" s="16" t="s">
        <v>2</v>
      </c>
      <c r="F406" s="47">
        <f>F407</f>
        <v>44046.6</v>
      </c>
      <c r="G406" s="47">
        <f t="shared" ref="G406:H406" si="193">G407</f>
        <v>40154</v>
      </c>
      <c r="H406" s="47">
        <f t="shared" si="193"/>
        <v>23414</v>
      </c>
      <c r="I406" s="4"/>
    </row>
    <row r="407" spans="1:9" ht="47.25" outlineLevel="4" x14ac:dyDescent="0.25">
      <c r="A407" s="10" t="s">
        <v>51</v>
      </c>
      <c r="B407" s="6" t="s">
        <v>355</v>
      </c>
      <c r="C407" s="6">
        <v>400</v>
      </c>
      <c r="D407" s="16" t="s">
        <v>14</v>
      </c>
      <c r="E407" s="16" t="s">
        <v>12</v>
      </c>
      <c r="F407" s="47">
        <f>40306.5+3740.1</f>
        <v>44046.6</v>
      </c>
      <c r="G407" s="47">
        <v>40154</v>
      </c>
      <c r="H407" s="47">
        <v>23414</v>
      </c>
      <c r="I407" s="4"/>
    </row>
    <row r="408" spans="1:9" ht="63" outlineLevel="3" x14ac:dyDescent="0.25">
      <c r="A408" s="10" t="s">
        <v>354</v>
      </c>
      <c r="B408" s="6" t="s">
        <v>356</v>
      </c>
      <c r="C408" s="6" t="s">
        <v>1</v>
      </c>
      <c r="D408" s="16" t="s">
        <v>2</v>
      </c>
      <c r="E408" s="16" t="s">
        <v>2</v>
      </c>
      <c r="F408" s="47">
        <f>F409</f>
        <v>6022.8</v>
      </c>
      <c r="G408" s="47">
        <f t="shared" ref="G408:H408" si="194">G409</f>
        <v>6000</v>
      </c>
      <c r="H408" s="47">
        <f t="shared" si="194"/>
        <v>3498.6</v>
      </c>
      <c r="I408" s="4"/>
    </row>
    <row r="409" spans="1:9" ht="47.25" outlineLevel="4" x14ac:dyDescent="0.25">
      <c r="A409" s="10" t="s">
        <v>51</v>
      </c>
      <c r="B409" s="6" t="s">
        <v>356</v>
      </c>
      <c r="C409" s="6" t="s">
        <v>52</v>
      </c>
      <c r="D409" s="16" t="s">
        <v>14</v>
      </c>
      <c r="E409" s="16" t="s">
        <v>12</v>
      </c>
      <c r="F409" s="47">
        <v>6022.8</v>
      </c>
      <c r="G409" s="47">
        <v>6000</v>
      </c>
      <c r="H409" s="47">
        <v>3498.6</v>
      </c>
      <c r="I409" s="4"/>
    </row>
    <row r="410" spans="1:9" s="13" customFormat="1" ht="31.5" outlineLevel="1" x14ac:dyDescent="0.25">
      <c r="A410" s="28" t="s">
        <v>357</v>
      </c>
      <c r="B410" s="29" t="s">
        <v>358</v>
      </c>
      <c r="C410" s="29" t="s">
        <v>1</v>
      </c>
      <c r="D410" s="30" t="s">
        <v>2</v>
      </c>
      <c r="E410" s="30" t="s">
        <v>2</v>
      </c>
      <c r="F410" s="46">
        <f>F411</f>
        <v>3257.134</v>
      </c>
      <c r="G410" s="46">
        <f t="shared" ref="G410:H410" si="195">G411</f>
        <v>1134.8</v>
      </c>
      <c r="H410" s="46">
        <f t="shared" si="195"/>
        <v>1162.7</v>
      </c>
      <c r="I410" s="12"/>
    </row>
    <row r="411" spans="1:9" ht="47.25" outlineLevel="2" x14ac:dyDescent="0.25">
      <c r="A411" s="10" t="s">
        <v>359</v>
      </c>
      <c r="B411" s="6" t="s">
        <v>360</v>
      </c>
      <c r="C411" s="6" t="s">
        <v>1</v>
      </c>
      <c r="D411" s="16" t="s">
        <v>2</v>
      </c>
      <c r="E411" s="16" t="s">
        <v>2</v>
      </c>
      <c r="F411" s="47">
        <f>F412+F414</f>
        <v>3257.134</v>
      </c>
      <c r="G411" s="47">
        <f t="shared" ref="G411:H411" si="196">G412+G414</f>
        <v>1134.8</v>
      </c>
      <c r="H411" s="47">
        <f t="shared" si="196"/>
        <v>1162.7</v>
      </c>
      <c r="I411" s="4"/>
    </row>
    <row r="412" spans="1:9" ht="31.5" outlineLevel="3" x14ac:dyDescent="0.25">
      <c r="A412" s="10" t="s">
        <v>361</v>
      </c>
      <c r="B412" s="6" t="s">
        <v>362</v>
      </c>
      <c r="C412" s="6" t="s">
        <v>1</v>
      </c>
      <c r="D412" s="16" t="s">
        <v>2</v>
      </c>
      <c r="E412" s="16" t="s">
        <v>2</v>
      </c>
      <c r="F412" s="47">
        <f>F413</f>
        <v>2833.634</v>
      </c>
      <c r="G412" s="47">
        <f t="shared" ref="G412:H412" si="197">G413</f>
        <v>983.5</v>
      </c>
      <c r="H412" s="47">
        <f t="shared" si="197"/>
        <v>1011.4</v>
      </c>
      <c r="I412" s="4"/>
    </row>
    <row r="413" spans="1:9" ht="31.5" outlineLevel="4" x14ac:dyDescent="0.25">
      <c r="A413" s="10" t="s">
        <v>66</v>
      </c>
      <c r="B413" s="6" t="s">
        <v>362</v>
      </c>
      <c r="C413" s="6" t="s">
        <v>67</v>
      </c>
      <c r="D413" s="16" t="s">
        <v>68</v>
      </c>
      <c r="E413" s="16" t="s">
        <v>29</v>
      </c>
      <c r="F413" s="47">
        <f>2743.9+89.734</f>
        <v>2833.634</v>
      </c>
      <c r="G413" s="47">
        <v>983.5</v>
      </c>
      <c r="H413" s="47">
        <v>1011.4</v>
      </c>
      <c r="I413" s="4"/>
    </row>
    <row r="414" spans="1:9" ht="31.5" outlineLevel="3" x14ac:dyDescent="0.25">
      <c r="A414" s="10" t="s">
        <v>361</v>
      </c>
      <c r="B414" s="6" t="s">
        <v>363</v>
      </c>
      <c r="C414" s="6" t="s">
        <v>1</v>
      </c>
      <c r="D414" s="16" t="s">
        <v>2</v>
      </c>
      <c r="E414" s="16" t="s">
        <v>2</v>
      </c>
      <c r="F414" s="47">
        <f>F415</f>
        <v>423.5</v>
      </c>
      <c r="G414" s="47">
        <f t="shared" ref="G414:H414" si="198">G415</f>
        <v>151.30000000000001</v>
      </c>
      <c r="H414" s="47">
        <f t="shared" si="198"/>
        <v>151.30000000000001</v>
      </c>
      <c r="I414" s="4"/>
    </row>
    <row r="415" spans="1:9" ht="31.5" outlineLevel="4" x14ac:dyDescent="0.25">
      <c r="A415" s="10" t="s">
        <v>66</v>
      </c>
      <c r="B415" s="6" t="s">
        <v>363</v>
      </c>
      <c r="C415" s="6" t="s">
        <v>67</v>
      </c>
      <c r="D415" s="16" t="s">
        <v>68</v>
      </c>
      <c r="E415" s="16" t="s">
        <v>29</v>
      </c>
      <c r="F415" s="47">
        <v>423.5</v>
      </c>
      <c r="G415" s="47">
        <v>151.30000000000001</v>
      </c>
      <c r="H415" s="47">
        <v>151.30000000000001</v>
      </c>
      <c r="I415" s="4"/>
    </row>
    <row r="416" spans="1:9" s="13" customFormat="1" ht="31.5" outlineLevel="1" x14ac:dyDescent="0.25">
      <c r="A416" s="28" t="s">
        <v>364</v>
      </c>
      <c r="B416" s="29" t="s">
        <v>365</v>
      </c>
      <c r="C416" s="29" t="s">
        <v>1</v>
      </c>
      <c r="D416" s="30" t="s">
        <v>2</v>
      </c>
      <c r="E416" s="30" t="s">
        <v>2</v>
      </c>
      <c r="F416" s="46">
        <f>F417+F420</f>
        <v>21151.802</v>
      </c>
      <c r="G416" s="46">
        <f t="shared" ref="G416:H416" si="199">G417+G420</f>
        <v>28846.799999999999</v>
      </c>
      <c r="H416" s="46">
        <f t="shared" si="199"/>
        <v>31478.7</v>
      </c>
      <c r="I416" s="12"/>
    </row>
    <row r="417" spans="1:9" ht="110.25" outlineLevel="2" x14ac:dyDescent="0.25">
      <c r="A417" s="10" t="s">
        <v>366</v>
      </c>
      <c r="B417" s="6" t="s">
        <v>367</v>
      </c>
      <c r="C417" s="6" t="s">
        <v>1</v>
      </c>
      <c r="D417" s="16" t="s">
        <v>2</v>
      </c>
      <c r="E417" s="16" t="s">
        <v>2</v>
      </c>
      <c r="F417" s="47">
        <f>F418</f>
        <v>1173.502</v>
      </c>
      <c r="G417" s="47">
        <f t="shared" ref="G417:H417" si="200">G418</f>
        <v>500</v>
      </c>
      <c r="H417" s="47">
        <f t="shared" si="200"/>
        <v>500</v>
      </c>
      <c r="I417" s="4"/>
    </row>
    <row r="418" spans="1:9" ht="78.75" outlineLevel="3" x14ac:dyDescent="0.25">
      <c r="A418" s="10" t="s">
        <v>368</v>
      </c>
      <c r="B418" s="6" t="s">
        <v>369</v>
      </c>
      <c r="C418" s="6" t="s">
        <v>1</v>
      </c>
      <c r="D418" s="16" t="s">
        <v>2</v>
      </c>
      <c r="E418" s="16" t="s">
        <v>2</v>
      </c>
      <c r="F418" s="47">
        <f>F419</f>
        <v>1173.502</v>
      </c>
      <c r="G418" s="47">
        <f t="shared" ref="G418:H418" si="201">G419</f>
        <v>500</v>
      </c>
      <c r="H418" s="47">
        <f t="shared" si="201"/>
        <v>500</v>
      </c>
      <c r="I418" s="4"/>
    </row>
    <row r="419" spans="1:9" ht="47.25" outlineLevel="4" x14ac:dyDescent="0.25">
      <c r="A419" s="10" t="s">
        <v>15</v>
      </c>
      <c r="B419" s="6" t="s">
        <v>369</v>
      </c>
      <c r="C419" s="6" t="s">
        <v>16</v>
      </c>
      <c r="D419" s="16" t="s">
        <v>14</v>
      </c>
      <c r="E419" s="16" t="s">
        <v>12</v>
      </c>
      <c r="F419" s="47">
        <f>500-9.838+683.34</f>
        <v>1173.502</v>
      </c>
      <c r="G419" s="47">
        <v>500</v>
      </c>
      <c r="H419" s="47">
        <v>500</v>
      </c>
      <c r="I419" s="4"/>
    </row>
    <row r="420" spans="1:9" ht="94.5" outlineLevel="2" x14ac:dyDescent="0.25">
      <c r="A420" s="10" t="s">
        <v>370</v>
      </c>
      <c r="B420" s="6" t="s">
        <v>371</v>
      </c>
      <c r="C420" s="6" t="s">
        <v>1</v>
      </c>
      <c r="D420" s="16" t="s">
        <v>2</v>
      </c>
      <c r="E420" s="16" t="s">
        <v>2</v>
      </c>
      <c r="F420" s="47">
        <f>F421+F423+F425</f>
        <v>19978.3</v>
      </c>
      <c r="G420" s="47">
        <f t="shared" ref="G420:H420" si="202">G421+G423+G425</f>
        <v>28346.799999999999</v>
      </c>
      <c r="H420" s="47">
        <f t="shared" si="202"/>
        <v>30978.7</v>
      </c>
      <c r="I420" s="4"/>
    </row>
    <row r="421" spans="1:9" ht="78.75" outlineLevel="3" x14ac:dyDescent="0.25">
      <c r="A421" s="10" t="s">
        <v>372</v>
      </c>
      <c r="B421" s="6" t="s">
        <v>373</v>
      </c>
      <c r="C421" s="6" t="s">
        <v>1</v>
      </c>
      <c r="D421" s="16" t="s">
        <v>2</v>
      </c>
      <c r="E421" s="16" t="s">
        <v>2</v>
      </c>
      <c r="F421" s="47">
        <f>F422</f>
        <v>19575.2</v>
      </c>
      <c r="G421" s="47">
        <f t="shared" ref="G421:H421" si="203">G422</f>
        <v>27755.7</v>
      </c>
      <c r="H421" s="47">
        <f t="shared" si="203"/>
        <v>30347.200000000001</v>
      </c>
      <c r="I421" s="4"/>
    </row>
    <row r="422" spans="1:9" ht="47.25" outlineLevel="4" x14ac:dyDescent="0.25">
      <c r="A422" s="10" t="s">
        <v>51</v>
      </c>
      <c r="B422" s="6" t="s">
        <v>373</v>
      </c>
      <c r="C422" s="6" t="s">
        <v>52</v>
      </c>
      <c r="D422" s="16" t="s">
        <v>14</v>
      </c>
      <c r="E422" s="16" t="s">
        <v>12</v>
      </c>
      <c r="F422" s="47">
        <f>5357.2+1191.4+13026.6</f>
        <v>19575.2</v>
      </c>
      <c r="G422" s="47">
        <v>27755.7</v>
      </c>
      <c r="H422" s="47">
        <v>30347.200000000001</v>
      </c>
      <c r="I422" s="4"/>
    </row>
    <row r="423" spans="1:9" ht="47.25" outlineLevel="3" x14ac:dyDescent="0.25">
      <c r="A423" s="10" t="s">
        <v>374</v>
      </c>
      <c r="B423" s="6" t="s">
        <v>375</v>
      </c>
      <c r="C423" s="6" t="s">
        <v>1</v>
      </c>
      <c r="D423" s="16" t="s">
        <v>2</v>
      </c>
      <c r="E423" s="16" t="s">
        <v>2</v>
      </c>
      <c r="F423" s="47">
        <f>F424</f>
        <v>299.60000000000002</v>
      </c>
      <c r="G423" s="47">
        <f t="shared" ref="G423:H423" si="204">G424</f>
        <v>424.8</v>
      </c>
      <c r="H423" s="47">
        <f t="shared" si="204"/>
        <v>464.5</v>
      </c>
      <c r="I423" s="4"/>
    </row>
    <row r="424" spans="1:9" ht="47.25" outlineLevel="4" x14ac:dyDescent="0.25">
      <c r="A424" s="10" t="s">
        <v>51</v>
      </c>
      <c r="B424" s="6" t="s">
        <v>375</v>
      </c>
      <c r="C424" s="6" t="s">
        <v>52</v>
      </c>
      <c r="D424" s="16" t="s">
        <v>14</v>
      </c>
      <c r="E424" s="16" t="s">
        <v>12</v>
      </c>
      <c r="F424" s="47">
        <f>82+18.2+199.4</f>
        <v>299.60000000000002</v>
      </c>
      <c r="G424" s="47">
        <v>424.8</v>
      </c>
      <c r="H424" s="47">
        <v>464.5</v>
      </c>
      <c r="I424" s="4"/>
    </row>
    <row r="425" spans="1:9" ht="47.25" outlineLevel="3" x14ac:dyDescent="0.25">
      <c r="A425" s="10" t="s">
        <v>374</v>
      </c>
      <c r="B425" s="6" t="s">
        <v>376</v>
      </c>
      <c r="C425" s="6" t="s">
        <v>1</v>
      </c>
      <c r="D425" s="16" t="s">
        <v>2</v>
      </c>
      <c r="E425" s="16" t="s">
        <v>2</v>
      </c>
      <c r="F425" s="47">
        <f>F426</f>
        <v>103.5</v>
      </c>
      <c r="G425" s="47">
        <f t="shared" ref="G425:H425" si="205">G426</f>
        <v>166.3</v>
      </c>
      <c r="H425" s="47">
        <f t="shared" si="205"/>
        <v>167</v>
      </c>
      <c r="I425" s="4"/>
    </row>
    <row r="426" spans="1:9" ht="47.25" outlineLevel="4" x14ac:dyDescent="0.25">
      <c r="A426" s="10" t="s">
        <v>51</v>
      </c>
      <c r="B426" s="6" t="s">
        <v>376</v>
      </c>
      <c r="C426" s="6" t="s">
        <v>52</v>
      </c>
      <c r="D426" s="16" t="s">
        <v>14</v>
      </c>
      <c r="E426" s="16" t="s">
        <v>12</v>
      </c>
      <c r="F426" s="47">
        <f>31.5+2+70</f>
        <v>103.5</v>
      </c>
      <c r="G426" s="47">
        <v>166.3</v>
      </c>
      <c r="H426" s="47">
        <v>167</v>
      </c>
      <c r="I426" s="4"/>
    </row>
    <row r="427" spans="1:9" s="13" customFormat="1" ht="47.25" outlineLevel="1" x14ac:dyDescent="0.25">
      <c r="A427" s="28" t="s">
        <v>377</v>
      </c>
      <c r="B427" s="29" t="s">
        <v>378</v>
      </c>
      <c r="C427" s="29" t="s">
        <v>1</v>
      </c>
      <c r="D427" s="30" t="s">
        <v>2</v>
      </c>
      <c r="E427" s="30" t="s">
        <v>2</v>
      </c>
      <c r="F427" s="46">
        <f>F428+F433</f>
        <v>11634.138000000001</v>
      </c>
      <c r="G427" s="46">
        <f t="shared" ref="G427:H427" si="206">G428+G433</f>
        <v>13919.3</v>
      </c>
      <c r="H427" s="46">
        <f t="shared" si="206"/>
        <v>14005.7</v>
      </c>
      <c r="I427" s="12"/>
    </row>
    <row r="428" spans="1:9" ht="78.75" outlineLevel="2" x14ac:dyDescent="0.25">
      <c r="A428" s="10" t="s">
        <v>379</v>
      </c>
      <c r="B428" s="6" t="s">
        <v>380</v>
      </c>
      <c r="C428" s="6" t="s">
        <v>1</v>
      </c>
      <c r="D428" s="16" t="s">
        <v>2</v>
      </c>
      <c r="E428" s="16" t="s">
        <v>2</v>
      </c>
      <c r="F428" s="47">
        <f>F429+F431</f>
        <v>5817.0690000000004</v>
      </c>
      <c r="G428" s="47">
        <f t="shared" ref="G428:H428" si="207">G429+G431</f>
        <v>6959.6</v>
      </c>
      <c r="H428" s="47">
        <f t="shared" si="207"/>
        <v>7002.8</v>
      </c>
      <c r="I428" s="4"/>
    </row>
    <row r="429" spans="1:9" ht="47.25" outlineLevel="3" x14ac:dyDescent="0.25">
      <c r="A429" s="10" t="s">
        <v>381</v>
      </c>
      <c r="B429" s="6" t="s">
        <v>382</v>
      </c>
      <c r="C429" s="6" t="s">
        <v>1</v>
      </c>
      <c r="D429" s="16" t="s">
        <v>2</v>
      </c>
      <c r="E429" s="16" t="s">
        <v>2</v>
      </c>
      <c r="F429" s="47">
        <f>F430</f>
        <v>5060.8500000000004</v>
      </c>
      <c r="G429" s="47">
        <f t="shared" ref="G429:H429" si="208">G430</f>
        <v>6257.8</v>
      </c>
      <c r="H429" s="47">
        <f t="shared" si="208"/>
        <v>6301</v>
      </c>
      <c r="I429" s="4"/>
    </row>
    <row r="430" spans="1:9" ht="47.25" outlineLevel="4" x14ac:dyDescent="0.25">
      <c r="A430" s="10" t="s">
        <v>51</v>
      </c>
      <c r="B430" s="6" t="s">
        <v>382</v>
      </c>
      <c r="C430" s="6" t="s">
        <v>52</v>
      </c>
      <c r="D430" s="16" t="s">
        <v>14</v>
      </c>
      <c r="E430" s="16" t="s">
        <v>12</v>
      </c>
      <c r="F430" s="47">
        <v>5060.8500000000004</v>
      </c>
      <c r="G430" s="47">
        <v>6257.8</v>
      </c>
      <c r="H430" s="47">
        <v>6301</v>
      </c>
      <c r="I430" s="4"/>
    </row>
    <row r="431" spans="1:9" ht="47.25" outlineLevel="3" x14ac:dyDescent="0.25">
      <c r="A431" s="10" t="s">
        <v>381</v>
      </c>
      <c r="B431" s="6" t="s">
        <v>383</v>
      </c>
      <c r="C431" s="6" t="s">
        <v>1</v>
      </c>
      <c r="D431" s="16" t="s">
        <v>2</v>
      </c>
      <c r="E431" s="16" t="s">
        <v>2</v>
      </c>
      <c r="F431" s="47">
        <f>F432</f>
        <v>756.21899999999994</v>
      </c>
      <c r="G431" s="47">
        <f t="shared" ref="G431:H431" si="209">G432</f>
        <v>701.8</v>
      </c>
      <c r="H431" s="47">
        <f t="shared" si="209"/>
        <v>701.8</v>
      </c>
      <c r="I431" s="4"/>
    </row>
    <row r="432" spans="1:9" ht="47.25" outlineLevel="4" x14ac:dyDescent="0.25">
      <c r="A432" s="10" t="s">
        <v>51</v>
      </c>
      <c r="B432" s="6" t="s">
        <v>383</v>
      </c>
      <c r="C432" s="6" t="s">
        <v>52</v>
      </c>
      <c r="D432" s="16" t="s">
        <v>14</v>
      </c>
      <c r="E432" s="16" t="s">
        <v>12</v>
      </c>
      <c r="F432" s="47">
        <f>751.3+4.919</f>
        <v>756.21899999999994</v>
      </c>
      <c r="G432" s="47">
        <v>701.8</v>
      </c>
      <c r="H432" s="47">
        <v>701.8</v>
      </c>
      <c r="I432" s="4"/>
    </row>
    <row r="433" spans="1:9" ht="94.5" outlineLevel="2" x14ac:dyDescent="0.25">
      <c r="A433" s="10" t="s">
        <v>384</v>
      </c>
      <c r="B433" s="6" t="s">
        <v>385</v>
      </c>
      <c r="C433" s="6" t="s">
        <v>1</v>
      </c>
      <c r="D433" s="16" t="s">
        <v>2</v>
      </c>
      <c r="E433" s="16" t="s">
        <v>2</v>
      </c>
      <c r="F433" s="47">
        <f>F434+F436</f>
        <v>5817.0690000000004</v>
      </c>
      <c r="G433" s="47">
        <f t="shared" ref="G433:H433" si="210">G434+G436</f>
        <v>6959.7</v>
      </c>
      <c r="H433" s="47">
        <f t="shared" si="210"/>
        <v>7002.9</v>
      </c>
      <c r="I433" s="4"/>
    </row>
    <row r="434" spans="1:9" ht="47.25" outlineLevel="3" x14ac:dyDescent="0.25">
      <c r="A434" s="10" t="s">
        <v>381</v>
      </c>
      <c r="B434" s="6" t="s">
        <v>386</v>
      </c>
      <c r="C434" s="6" t="s">
        <v>1</v>
      </c>
      <c r="D434" s="16" t="s">
        <v>2</v>
      </c>
      <c r="E434" s="16" t="s">
        <v>2</v>
      </c>
      <c r="F434" s="47">
        <f>F435</f>
        <v>5060.8500000000004</v>
      </c>
      <c r="G434" s="47">
        <f t="shared" ref="G434:H434" si="211">G435</f>
        <v>6257.8</v>
      </c>
      <c r="H434" s="47">
        <f t="shared" si="211"/>
        <v>6301</v>
      </c>
      <c r="I434" s="4"/>
    </row>
    <row r="435" spans="1:9" ht="47.25" outlineLevel="4" x14ac:dyDescent="0.25">
      <c r="A435" s="10" t="s">
        <v>51</v>
      </c>
      <c r="B435" s="6" t="s">
        <v>386</v>
      </c>
      <c r="C435" s="6" t="s">
        <v>52</v>
      </c>
      <c r="D435" s="16" t="s">
        <v>14</v>
      </c>
      <c r="E435" s="16" t="s">
        <v>12</v>
      </c>
      <c r="F435" s="47">
        <v>5060.8500000000004</v>
      </c>
      <c r="G435" s="47">
        <v>6257.8</v>
      </c>
      <c r="H435" s="47">
        <v>6301</v>
      </c>
      <c r="I435" s="4"/>
    </row>
    <row r="436" spans="1:9" ht="47.25" outlineLevel="3" x14ac:dyDescent="0.25">
      <c r="A436" s="10" t="s">
        <v>381</v>
      </c>
      <c r="B436" s="6" t="s">
        <v>387</v>
      </c>
      <c r="C436" s="6" t="s">
        <v>1</v>
      </c>
      <c r="D436" s="16" t="s">
        <v>2</v>
      </c>
      <c r="E436" s="16" t="s">
        <v>2</v>
      </c>
      <c r="F436" s="47">
        <f>F437</f>
        <v>756.21899999999994</v>
      </c>
      <c r="G436" s="47">
        <f t="shared" ref="G436:H436" si="212">G437</f>
        <v>701.9</v>
      </c>
      <c r="H436" s="47">
        <f t="shared" si="212"/>
        <v>701.9</v>
      </c>
      <c r="I436" s="4"/>
    </row>
    <row r="437" spans="1:9" ht="47.25" outlineLevel="4" x14ac:dyDescent="0.25">
      <c r="A437" s="10" t="s">
        <v>51</v>
      </c>
      <c r="B437" s="6" t="s">
        <v>387</v>
      </c>
      <c r="C437" s="6" t="s">
        <v>52</v>
      </c>
      <c r="D437" s="16" t="s">
        <v>14</v>
      </c>
      <c r="E437" s="16" t="s">
        <v>12</v>
      </c>
      <c r="F437" s="47">
        <f>751.3+4.919</f>
        <v>756.21899999999994</v>
      </c>
      <c r="G437" s="47">
        <v>701.9</v>
      </c>
      <c r="H437" s="47">
        <v>701.9</v>
      </c>
      <c r="I437" s="4"/>
    </row>
    <row r="438" spans="1:9" s="13" customFormat="1" ht="47.25" outlineLevel="1" x14ac:dyDescent="0.25">
      <c r="A438" s="28" t="s">
        <v>388</v>
      </c>
      <c r="B438" s="29" t="s">
        <v>389</v>
      </c>
      <c r="C438" s="29" t="s">
        <v>1</v>
      </c>
      <c r="D438" s="30" t="s">
        <v>2</v>
      </c>
      <c r="E438" s="30" t="s">
        <v>2</v>
      </c>
      <c r="F438" s="46">
        <f>F439</f>
        <v>11000</v>
      </c>
      <c r="G438" s="46">
        <f t="shared" ref="G438:H439" si="213">G439</f>
        <v>11000</v>
      </c>
      <c r="H438" s="46">
        <f t="shared" si="213"/>
        <v>11000</v>
      </c>
      <c r="I438" s="12"/>
    </row>
    <row r="439" spans="1:9" ht="63" outlineLevel="2" x14ac:dyDescent="0.25">
      <c r="A439" s="10" t="s">
        <v>390</v>
      </c>
      <c r="B439" s="6" t="s">
        <v>391</v>
      </c>
      <c r="C439" s="6" t="s">
        <v>1</v>
      </c>
      <c r="D439" s="16" t="s">
        <v>2</v>
      </c>
      <c r="E439" s="16" t="s">
        <v>2</v>
      </c>
      <c r="F439" s="47">
        <f>F440</f>
        <v>11000</v>
      </c>
      <c r="G439" s="47">
        <f t="shared" si="213"/>
        <v>11000</v>
      </c>
      <c r="H439" s="47">
        <f t="shared" si="213"/>
        <v>11000</v>
      </c>
      <c r="I439" s="4"/>
    </row>
    <row r="440" spans="1:9" ht="31.5" outlineLevel="3" x14ac:dyDescent="0.25">
      <c r="A440" s="10" t="s">
        <v>392</v>
      </c>
      <c r="B440" s="6" t="s">
        <v>393</v>
      </c>
      <c r="C440" s="6" t="s">
        <v>1</v>
      </c>
      <c r="D440" s="16" t="s">
        <v>2</v>
      </c>
      <c r="E440" s="16" t="s">
        <v>2</v>
      </c>
      <c r="F440" s="47">
        <f>F441</f>
        <v>11000</v>
      </c>
      <c r="G440" s="47">
        <f t="shared" ref="G440:H440" si="214">G441</f>
        <v>11000</v>
      </c>
      <c r="H440" s="47">
        <f t="shared" si="214"/>
        <v>11000</v>
      </c>
      <c r="I440" s="4"/>
    </row>
    <row r="441" spans="1:9" ht="47.25" outlineLevel="4" x14ac:dyDescent="0.25">
      <c r="A441" s="10" t="s">
        <v>15</v>
      </c>
      <c r="B441" s="6" t="s">
        <v>393</v>
      </c>
      <c r="C441" s="6" t="s">
        <v>16</v>
      </c>
      <c r="D441" s="16" t="s">
        <v>14</v>
      </c>
      <c r="E441" s="16" t="s">
        <v>12</v>
      </c>
      <c r="F441" s="47">
        <v>11000</v>
      </c>
      <c r="G441" s="47">
        <v>11000</v>
      </c>
      <c r="H441" s="47">
        <v>11000</v>
      </c>
      <c r="I441" s="4"/>
    </row>
    <row r="442" spans="1:9" s="7" customFormat="1" ht="78.75" x14ac:dyDescent="0.25">
      <c r="A442" s="31" t="s">
        <v>394</v>
      </c>
      <c r="B442" s="32" t="s">
        <v>395</v>
      </c>
      <c r="C442" s="32" t="s">
        <v>1</v>
      </c>
      <c r="D442" s="33" t="s">
        <v>2</v>
      </c>
      <c r="E442" s="33" t="s">
        <v>2</v>
      </c>
      <c r="F442" s="48">
        <f>F443+F450+F455</f>
        <v>17714</v>
      </c>
      <c r="G442" s="48">
        <f t="shared" ref="G442:H442" si="215">G443+G450+G455</f>
        <v>17073.400000000001</v>
      </c>
      <c r="H442" s="48">
        <f t="shared" si="215"/>
        <v>17073.400000000001</v>
      </c>
      <c r="I442" s="8"/>
    </row>
    <row r="443" spans="1:9" ht="78.75" outlineLevel="2" x14ac:dyDescent="0.25">
      <c r="A443" s="10" t="s">
        <v>396</v>
      </c>
      <c r="B443" s="6" t="s">
        <v>397</v>
      </c>
      <c r="C443" s="6" t="s">
        <v>1</v>
      </c>
      <c r="D443" s="16" t="s">
        <v>2</v>
      </c>
      <c r="E443" s="16" t="s">
        <v>2</v>
      </c>
      <c r="F443" s="47">
        <f>F444+F446+F448</f>
        <v>565</v>
      </c>
      <c r="G443" s="47">
        <f t="shared" ref="G443:H443" si="216">G444+G446+G448</f>
        <v>675</v>
      </c>
      <c r="H443" s="47">
        <f t="shared" si="216"/>
        <v>675</v>
      </c>
      <c r="I443" s="4"/>
    </row>
    <row r="444" spans="1:9" ht="47.25" outlineLevel="3" x14ac:dyDescent="0.25">
      <c r="A444" s="10" t="s">
        <v>398</v>
      </c>
      <c r="B444" s="6" t="s">
        <v>399</v>
      </c>
      <c r="C444" s="6" t="s">
        <v>1</v>
      </c>
      <c r="D444" s="16" t="s">
        <v>2</v>
      </c>
      <c r="E444" s="16" t="s">
        <v>2</v>
      </c>
      <c r="F444" s="47">
        <f>F445</f>
        <v>120</v>
      </c>
      <c r="G444" s="47">
        <f t="shared" ref="G444:H444" si="217">G445</f>
        <v>200</v>
      </c>
      <c r="H444" s="47">
        <f t="shared" si="217"/>
        <v>200</v>
      </c>
      <c r="I444" s="4"/>
    </row>
    <row r="445" spans="1:9" ht="47.25" outlineLevel="4" x14ac:dyDescent="0.25">
      <c r="A445" s="10" t="s">
        <v>15</v>
      </c>
      <c r="B445" s="6" t="s">
        <v>399</v>
      </c>
      <c r="C445" s="6" t="s">
        <v>16</v>
      </c>
      <c r="D445" s="16" t="s">
        <v>12</v>
      </c>
      <c r="E445" s="16" t="s">
        <v>13</v>
      </c>
      <c r="F445" s="47">
        <f>200-50-30</f>
        <v>120</v>
      </c>
      <c r="G445" s="47">
        <v>200</v>
      </c>
      <c r="H445" s="47">
        <v>200</v>
      </c>
      <c r="I445" s="4"/>
    </row>
    <row r="446" spans="1:9" outlineLevel="3" x14ac:dyDescent="0.25">
      <c r="A446" s="10" t="s">
        <v>400</v>
      </c>
      <c r="B446" s="6" t="s">
        <v>401</v>
      </c>
      <c r="C446" s="6" t="s">
        <v>1</v>
      </c>
      <c r="D446" s="16" t="s">
        <v>2</v>
      </c>
      <c r="E446" s="16" t="s">
        <v>2</v>
      </c>
      <c r="F446" s="47">
        <f>F447</f>
        <v>170</v>
      </c>
      <c r="G446" s="47">
        <f t="shared" ref="G446:H446" si="218">G447</f>
        <v>170</v>
      </c>
      <c r="H446" s="47">
        <f t="shared" si="218"/>
        <v>170</v>
      </c>
      <c r="I446" s="4"/>
    </row>
    <row r="447" spans="1:9" ht="47.25" outlineLevel="4" x14ac:dyDescent="0.25">
      <c r="A447" s="10" t="s">
        <v>15</v>
      </c>
      <c r="B447" s="6" t="s">
        <v>401</v>
      </c>
      <c r="C447" s="6" t="s">
        <v>16</v>
      </c>
      <c r="D447" s="16" t="s">
        <v>12</v>
      </c>
      <c r="E447" s="16" t="s">
        <v>13</v>
      </c>
      <c r="F447" s="47">
        <v>170</v>
      </c>
      <c r="G447" s="47">
        <v>170</v>
      </c>
      <c r="H447" s="47">
        <v>170</v>
      </c>
      <c r="I447" s="4"/>
    </row>
    <row r="448" spans="1:9" ht="47.25" outlineLevel="3" x14ac:dyDescent="0.25">
      <c r="A448" s="10" t="s">
        <v>402</v>
      </c>
      <c r="B448" s="6" t="s">
        <v>403</v>
      </c>
      <c r="C448" s="6" t="s">
        <v>1</v>
      </c>
      <c r="D448" s="16" t="s">
        <v>2</v>
      </c>
      <c r="E448" s="16" t="s">
        <v>2</v>
      </c>
      <c r="F448" s="47">
        <f>F449</f>
        <v>275</v>
      </c>
      <c r="G448" s="47">
        <f t="shared" ref="G448:H448" si="219">G449</f>
        <v>305</v>
      </c>
      <c r="H448" s="47">
        <f t="shared" si="219"/>
        <v>305</v>
      </c>
      <c r="I448" s="4"/>
    </row>
    <row r="449" spans="1:9" ht="47.25" outlineLevel="4" x14ac:dyDescent="0.25">
      <c r="A449" s="10" t="s">
        <v>15</v>
      </c>
      <c r="B449" s="6" t="s">
        <v>403</v>
      </c>
      <c r="C449" s="6" t="s">
        <v>16</v>
      </c>
      <c r="D449" s="16" t="s">
        <v>12</v>
      </c>
      <c r="E449" s="16" t="s">
        <v>13</v>
      </c>
      <c r="F449" s="47">
        <f>305-30</f>
        <v>275</v>
      </c>
      <c r="G449" s="47">
        <v>305</v>
      </c>
      <c r="H449" s="47">
        <v>305</v>
      </c>
      <c r="I449" s="4"/>
    </row>
    <row r="450" spans="1:9" ht="31.5" outlineLevel="2" x14ac:dyDescent="0.25">
      <c r="A450" s="10" t="s">
        <v>404</v>
      </c>
      <c r="B450" s="6" t="s">
        <v>405</v>
      </c>
      <c r="C450" s="6" t="s">
        <v>1</v>
      </c>
      <c r="D450" s="16" t="s">
        <v>2</v>
      </c>
      <c r="E450" s="16" t="s">
        <v>2</v>
      </c>
      <c r="F450" s="47">
        <f>F451+F453</f>
        <v>218</v>
      </c>
      <c r="G450" s="47">
        <f t="shared" ref="G450:H450" si="220">G451+G453</f>
        <v>368</v>
      </c>
      <c r="H450" s="47">
        <f t="shared" si="220"/>
        <v>368</v>
      </c>
      <c r="I450" s="4"/>
    </row>
    <row r="451" spans="1:9" ht="31.5" outlineLevel="3" x14ac:dyDescent="0.25">
      <c r="A451" s="10" t="s">
        <v>406</v>
      </c>
      <c r="B451" s="6" t="s">
        <v>407</v>
      </c>
      <c r="C451" s="6" t="s">
        <v>1</v>
      </c>
      <c r="D451" s="16" t="s">
        <v>2</v>
      </c>
      <c r="E451" s="16" t="s">
        <v>2</v>
      </c>
      <c r="F451" s="47">
        <f>F452</f>
        <v>20</v>
      </c>
      <c r="G451" s="47">
        <f t="shared" ref="G451:H451" si="221">G452</f>
        <v>20</v>
      </c>
      <c r="H451" s="47">
        <f t="shared" si="221"/>
        <v>20</v>
      </c>
      <c r="I451" s="4"/>
    </row>
    <row r="452" spans="1:9" outlineLevel="4" x14ac:dyDescent="0.25">
      <c r="A452" s="10" t="s">
        <v>19</v>
      </c>
      <c r="B452" s="6" t="s">
        <v>407</v>
      </c>
      <c r="C452" s="6" t="s">
        <v>20</v>
      </c>
      <c r="D452" s="16" t="s">
        <v>12</v>
      </c>
      <c r="E452" s="16" t="s">
        <v>13</v>
      </c>
      <c r="F452" s="47">
        <v>20</v>
      </c>
      <c r="G452" s="47">
        <v>20</v>
      </c>
      <c r="H452" s="47">
        <v>20</v>
      </c>
      <c r="I452" s="4"/>
    </row>
    <row r="453" spans="1:9" ht="126" outlineLevel="3" x14ac:dyDescent="0.25">
      <c r="A453" s="10" t="s">
        <v>408</v>
      </c>
      <c r="B453" s="6" t="s">
        <v>409</v>
      </c>
      <c r="C453" s="6" t="s">
        <v>1</v>
      </c>
      <c r="D453" s="16" t="s">
        <v>2</v>
      </c>
      <c r="E453" s="16" t="s">
        <v>2</v>
      </c>
      <c r="F453" s="47">
        <f>F454</f>
        <v>198</v>
      </c>
      <c r="G453" s="47">
        <f t="shared" ref="G453:H453" si="222">G454</f>
        <v>348</v>
      </c>
      <c r="H453" s="47">
        <f t="shared" si="222"/>
        <v>348</v>
      </c>
      <c r="I453" s="4"/>
    </row>
    <row r="454" spans="1:9" ht="47.25" outlineLevel="4" x14ac:dyDescent="0.25">
      <c r="A454" s="10" t="s">
        <v>15</v>
      </c>
      <c r="B454" s="6" t="s">
        <v>409</v>
      </c>
      <c r="C454" s="6" t="s">
        <v>16</v>
      </c>
      <c r="D454" s="16" t="s">
        <v>12</v>
      </c>
      <c r="E454" s="16" t="s">
        <v>13</v>
      </c>
      <c r="F454" s="47">
        <f>348-150</f>
        <v>198</v>
      </c>
      <c r="G454" s="47">
        <v>348</v>
      </c>
      <c r="H454" s="47">
        <v>348</v>
      </c>
      <c r="I454" s="4"/>
    </row>
    <row r="455" spans="1:9" ht="47.25" outlineLevel="2" x14ac:dyDescent="0.25">
      <c r="A455" s="10" t="s">
        <v>6</v>
      </c>
      <c r="B455" s="6" t="s">
        <v>410</v>
      </c>
      <c r="C455" s="6" t="s">
        <v>1</v>
      </c>
      <c r="D455" s="16" t="s">
        <v>2</v>
      </c>
      <c r="E455" s="16" t="s">
        <v>2</v>
      </c>
      <c r="F455" s="47">
        <f>F456+F460</f>
        <v>16931</v>
      </c>
      <c r="G455" s="47">
        <f t="shared" ref="G455:H455" si="223">G456+G460</f>
        <v>16030.4</v>
      </c>
      <c r="H455" s="47">
        <f t="shared" si="223"/>
        <v>16030.4</v>
      </c>
      <c r="I455" s="4"/>
    </row>
    <row r="456" spans="1:9" ht="47.25" outlineLevel="3" x14ac:dyDescent="0.25">
      <c r="A456" s="10" t="s">
        <v>8</v>
      </c>
      <c r="B456" s="6" t="s">
        <v>411</v>
      </c>
      <c r="C456" s="6" t="s">
        <v>1</v>
      </c>
      <c r="D456" s="16" t="s">
        <v>2</v>
      </c>
      <c r="E456" s="16" t="s">
        <v>2</v>
      </c>
      <c r="F456" s="47">
        <f>F457+F458+F459</f>
        <v>14731.605390000001</v>
      </c>
      <c r="G456" s="47">
        <f t="shared" ref="G456:H456" si="224">G457+G458+G459</f>
        <v>16030.4</v>
      </c>
      <c r="H456" s="47">
        <f t="shared" si="224"/>
        <v>16030.4</v>
      </c>
      <c r="I456" s="4"/>
    </row>
    <row r="457" spans="1:9" ht="110.25" outlineLevel="4" x14ac:dyDescent="0.25">
      <c r="A457" s="10" t="s">
        <v>10</v>
      </c>
      <c r="B457" s="6" t="s">
        <v>411</v>
      </c>
      <c r="C457" s="6" t="s">
        <v>11</v>
      </c>
      <c r="D457" s="16" t="s">
        <v>12</v>
      </c>
      <c r="E457" s="16" t="s">
        <v>13</v>
      </c>
      <c r="F457" s="47">
        <f>14783.8-470.53472-205.9012-62.18217+317.40508-314.69736-7.702-197-248.18224</f>
        <v>13595.00539</v>
      </c>
      <c r="G457" s="47">
        <v>14783.8</v>
      </c>
      <c r="H457" s="47">
        <v>14783.8</v>
      </c>
      <c r="I457" s="4"/>
    </row>
    <row r="458" spans="1:9" ht="47.25" outlineLevel="4" x14ac:dyDescent="0.25">
      <c r="A458" s="10" t="s">
        <v>15</v>
      </c>
      <c r="B458" s="6" t="s">
        <v>411</v>
      </c>
      <c r="C458" s="6" t="s">
        <v>16</v>
      </c>
      <c r="D458" s="16" t="s">
        <v>12</v>
      </c>
      <c r="E458" s="16" t="s">
        <v>13</v>
      </c>
      <c r="F458" s="47">
        <f>1246.2-110</f>
        <v>1136.2</v>
      </c>
      <c r="G458" s="47">
        <v>1246.2</v>
      </c>
      <c r="H458" s="47">
        <v>1246.2</v>
      </c>
      <c r="I458" s="4"/>
    </row>
    <row r="459" spans="1:9" outlineLevel="4" x14ac:dyDescent="0.25">
      <c r="A459" s="10" t="s">
        <v>19</v>
      </c>
      <c r="B459" s="6" t="s">
        <v>411</v>
      </c>
      <c r="C459" s="6" t="s">
        <v>20</v>
      </c>
      <c r="D459" s="16" t="s">
        <v>12</v>
      </c>
      <c r="E459" s="16" t="s">
        <v>13</v>
      </c>
      <c r="F459" s="47">
        <v>0.4</v>
      </c>
      <c r="G459" s="47">
        <v>0.4</v>
      </c>
      <c r="H459" s="47">
        <v>0.4</v>
      </c>
      <c r="I459" s="4"/>
    </row>
    <row r="460" spans="1:9" ht="18" customHeight="1" outlineLevel="4" x14ac:dyDescent="0.25">
      <c r="A460" s="10" t="s">
        <v>619</v>
      </c>
      <c r="B460" s="6" t="s">
        <v>622</v>
      </c>
      <c r="C460" s="6" t="s">
        <v>1</v>
      </c>
      <c r="D460" s="16" t="s">
        <v>12</v>
      </c>
      <c r="E460" s="16" t="s">
        <v>13</v>
      </c>
      <c r="F460" s="47">
        <f>F461+F462</f>
        <v>2199.3946099999998</v>
      </c>
      <c r="G460" s="47">
        <f t="shared" ref="G460:H460" si="225">G461+G462</f>
        <v>0</v>
      </c>
      <c r="H460" s="47">
        <f t="shared" si="225"/>
        <v>0</v>
      </c>
      <c r="I460" s="4"/>
    </row>
    <row r="461" spans="1:9" ht="47.25" outlineLevel="4" x14ac:dyDescent="0.25">
      <c r="A461" s="10" t="s">
        <v>620</v>
      </c>
      <c r="B461" s="6" t="s">
        <v>622</v>
      </c>
      <c r="C461" s="6" t="s">
        <v>16</v>
      </c>
      <c r="D461" s="16" t="s">
        <v>12</v>
      </c>
      <c r="E461" s="16" t="s">
        <v>13</v>
      </c>
      <c r="F461" s="47">
        <f>572.102+350.57737+245.86071+58.36149+300+200+232.99026</f>
        <v>1959.89183</v>
      </c>
      <c r="G461" s="47">
        <v>0</v>
      </c>
      <c r="H461" s="47">
        <v>0</v>
      </c>
      <c r="I461" s="4"/>
    </row>
    <row r="462" spans="1:9" outlineLevel="4" x14ac:dyDescent="0.25">
      <c r="A462" s="10" t="s">
        <v>621</v>
      </c>
      <c r="B462" s="6" t="s">
        <v>622</v>
      </c>
      <c r="C462" s="6" t="s">
        <v>20</v>
      </c>
      <c r="D462" s="16" t="s">
        <v>12</v>
      </c>
      <c r="E462" s="16" t="s">
        <v>13</v>
      </c>
      <c r="F462" s="47">
        <f>98.43272+27.506+18.97272+14.69736+7.702+57+15.19198</f>
        <v>239.50278</v>
      </c>
      <c r="G462" s="47">
        <v>0</v>
      </c>
      <c r="H462" s="47">
        <v>0</v>
      </c>
      <c r="I462" s="4"/>
    </row>
    <row r="463" spans="1:9" s="7" customFormat="1" ht="47.25" x14ac:dyDescent="0.25">
      <c r="A463" s="31" t="s">
        <v>412</v>
      </c>
      <c r="B463" s="32" t="s">
        <v>413</v>
      </c>
      <c r="C463" s="32" t="s">
        <v>1</v>
      </c>
      <c r="D463" s="33" t="s">
        <v>2</v>
      </c>
      <c r="E463" s="33" t="s">
        <v>2</v>
      </c>
      <c r="F463" s="48">
        <f>F464+F469+F480+F493+F506</f>
        <v>167309.74</v>
      </c>
      <c r="G463" s="48">
        <f t="shared" ref="G463:H463" si="226">G464+G469+G480+G493+G506</f>
        <v>161953.09999999998</v>
      </c>
      <c r="H463" s="48">
        <f t="shared" si="226"/>
        <v>161958.29999999999</v>
      </c>
      <c r="I463" s="8"/>
    </row>
    <row r="464" spans="1:9" ht="94.5" outlineLevel="2" x14ac:dyDescent="0.25">
      <c r="A464" s="10" t="s">
        <v>414</v>
      </c>
      <c r="B464" s="6" t="s">
        <v>415</v>
      </c>
      <c r="C464" s="6" t="s">
        <v>1</v>
      </c>
      <c r="D464" s="16" t="s">
        <v>2</v>
      </c>
      <c r="E464" s="16" t="s">
        <v>2</v>
      </c>
      <c r="F464" s="47">
        <f>F465+F467</f>
        <v>46747.14</v>
      </c>
      <c r="G464" s="47">
        <f t="shared" ref="G464:H464" si="227">G465+G467</f>
        <v>46265.4</v>
      </c>
      <c r="H464" s="47">
        <f t="shared" si="227"/>
        <v>46265.4</v>
      </c>
      <c r="I464" s="4"/>
    </row>
    <row r="465" spans="1:9" ht="110.25" outlineLevel="3" x14ac:dyDescent="0.25">
      <c r="A465" s="10" t="s">
        <v>416</v>
      </c>
      <c r="B465" s="6" t="s">
        <v>417</v>
      </c>
      <c r="C465" s="6" t="s">
        <v>1</v>
      </c>
      <c r="D465" s="16" t="s">
        <v>2</v>
      </c>
      <c r="E465" s="16" t="s">
        <v>2</v>
      </c>
      <c r="F465" s="47">
        <f>F466</f>
        <v>8807</v>
      </c>
      <c r="G465" s="47">
        <f t="shared" ref="G465:H465" si="228">G466</f>
        <v>8807</v>
      </c>
      <c r="H465" s="47">
        <f t="shared" si="228"/>
        <v>8807</v>
      </c>
      <c r="I465" s="4"/>
    </row>
    <row r="466" spans="1:9" ht="63" outlineLevel="4" x14ac:dyDescent="0.25">
      <c r="A466" s="10" t="s">
        <v>27</v>
      </c>
      <c r="B466" s="6" t="s">
        <v>417</v>
      </c>
      <c r="C466" s="6" t="s">
        <v>28</v>
      </c>
      <c r="D466" s="16" t="s">
        <v>113</v>
      </c>
      <c r="E466" s="16" t="s">
        <v>29</v>
      </c>
      <c r="F466" s="47">
        <v>8807</v>
      </c>
      <c r="G466" s="47">
        <v>8807</v>
      </c>
      <c r="H466" s="47">
        <v>8807</v>
      </c>
      <c r="I466" s="4"/>
    </row>
    <row r="467" spans="1:9" ht="63" outlineLevel="3" x14ac:dyDescent="0.25">
      <c r="A467" s="10" t="s">
        <v>261</v>
      </c>
      <c r="B467" s="6" t="s">
        <v>418</v>
      </c>
      <c r="C467" s="6" t="s">
        <v>1</v>
      </c>
      <c r="D467" s="16" t="s">
        <v>2</v>
      </c>
      <c r="E467" s="16" t="s">
        <v>2</v>
      </c>
      <c r="F467" s="47">
        <f>F468</f>
        <v>37940.14</v>
      </c>
      <c r="G467" s="47">
        <f t="shared" ref="G467:H467" si="229">G468</f>
        <v>37458.400000000001</v>
      </c>
      <c r="H467" s="47">
        <f t="shared" si="229"/>
        <v>37458.400000000001</v>
      </c>
      <c r="I467" s="4"/>
    </row>
    <row r="468" spans="1:9" ht="63" outlineLevel="4" x14ac:dyDescent="0.25">
      <c r="A468" s="10" t="s">
        <v>27</v>
      </c>
      <c r="B468" s="6" t="s">
        <v>418</v>
      </c>
      <c r="C468" s="6" t="s">
        <v>28</v>
      </c>
      <c r="D468" s="16" t="s">
        <v>113</v>
      </c>
      <c r="E468" s="16" t="s">
        <v>29</v>
      </c>
      <c r="F468" s="47">
        <f>37458.4+481.74</f>
        <v>37940.14</v>
      </c>
      <c r="G468" s="47">
        <v>37458.400000000001</v>
      </c>
      <c r="H468" s="47">
        <v>37458.400000000001</v>
      </c>
      <c r="I468" s="4"/>
    </row>
    <row r="469" spans="1:9" ht="78.75" outlineLevel="2" x14ac:dyDescent="0.25">
      <c r="A469" s="10" t="s">
        <v>419</v>
      </c>
      <c r="B469" s="6" t="s">
        <v>420</v>
      </c>
      <c r="C469" s="6" t="s">
        <v>1</v>
      </c>
      <c r="D469" s="16" t="s">
        <v>2</v>
      </c>
      <c r="E469" s="16" t="s">
        <v>2</v>
      </c>
      <c r="F469" s="47">
        <f>F470+F472+F474+F476+F478</f>
        <v>35587.1</v>
      </c>
      <c r="G469" s="47">
        <f t="shared" ref="G469:H469" si="230">G470+G472+G474+G476+G478</f>
        <v>32411.200000000001</v>
      </c>
      <c r="H469" s="47">
        <f t="shared" si="230"/>
        <v>32416.400000000001</v>
      </c>
      <c r="I469" s="4"/>
    </row>
    <row r="470" spans="1:9" ht="110.25" outlineLevel="3" x14ac:dyDescent="0.25">
      <c r="A470" s="10" t="s">
        <v>416</v>
      </c>
      <c r="B470" s="6" t="s">
        <v>421</v>
      </c>
      <c r="C470" s="6" t="s">
        <v>1</v>
      </c>
      <c r="D470" s="16" t="s">
        <v>2</v>
      </c>
      <c r="E470" s="16" t="s">
        <v>2</v>
      </c>
      <c r="F470" s="47">
        <f>F471</f>
        <v>11800</v>
      </c>
      <c r="G470" s="47">
        <f t="shared" ref="G470:H470" si="231">G471</f>
        <v>11800</v>
      </c>
      <c r="H470" s="47">
        <f t="shared" si="231"/>
        <v>11800</v>
      </c>
      <c r="I470" s="4"/>
    </row>
    <row r="471" spans="1:9" ht="63" outlineLevel="4" x14ac:dyDescent="0.25">
      <c r="A471" s="10" t="s">
        <v>27</v>
      </c>
      <c r="B471" s="6" t="s">
        <v>421</v>
      </c>
      <c r="C471" s="6" t="s">
        <v>28</v>
      </c>
      <c r="D471" s="16" t="s">
        <v>118</v>
      </c>
      <c r="E471" s="16" t="s">
        <v>12</v>
      </c>
      <c r="F471" s="47">
        <v>11800</v>
      </c>
      <c r="G471" s="47">
        <v>11800</v>
      </c>
      <c r="H471" s="47">
        <v>11800</v>
      </c>
      <c r="I471" s="4"/>
    </row>
    <row r="472" spans="1:9" ht="47.25" outlineLevel="3" x14ac:dyDescent="0.25">
      <c r="A472" s="10" t="s">
        <v>422</v>
      </c>
      <c r="B472" s="6" t="s">
        <v>423</v>
      </c>
      <c r="C472" s="6" t="s">
        <v>1</v>
      </c>
      <c r="D472" s="16" t="s">
        <v>2</v>
      </c>
      <c r="E472" s="16" t="s">
        <v>2</v>
      </c>
      <c r="F472" s="47">
        <f>F473</f>
        <v>2571.6999999999998</v>
      </c>
      <c r="G472" s="47">
        <f t="shared" ref="G472:H472" si="232">G473</f>
        <v>0</v>
      </c>
      <c r="H472" s="47">
        <f t="shared" si="232"/>
        <v>0</v>
      </c>
      <c r="I472" s="4"/>
    </row>
    <row r="473" spans="1:9" ht="63" outlineLevel="4" x14ac:dyDescent="0.25">
      <c r="A473" s="10" t="s">
        <v>27</v>
      </c>
      <c r="B473" s="6" t="s">
        <v>423</v>
      </c>
      <c r="C473" s="6" t="s">
        <v>28</v>
      </c>
      <c r="D473" s="16" t="s">
        <v>118</v>
      </c>
      <c r="E473" s="16" t="s">
        <v>12</v>
      </c>
      <c r="F473" s="47">
        <v>2571.6999999999998</v>
      </c>
      <c r="G473" s="47">
        <v>0</v>
      </c>
      <c r="H473" s="47">
        <v>0</v>
      </c>
      <c r="I473" s="4"/>
    </row>
    <row r="474" spans="1:9" ht="173.25" outlineLevel="3" x14ac:dyDescent="0.25">
      <c r="A474" s="10" t="s">
        <v>424</v>
      </c>
      <c r="B474" s="6" t="s">
        <v>425</v>
      </c>
      <c r="C474" s="6" t="s">
        <v>1</v>
      </c>
      <c r="D474" s="16" t="s">
        <v>2</v>
      </c>
      <c r="E474" s="16" t="s">
        <v>2</v>
      </c>
      <c r="F474" s="47">
        <f>F475</f>
        <v>33</v>
      </c>
      <c r="G474" s="47">
        <f t="shared" ref="G474:H474" si="233">G475</f>
        <v>33</v>
      </c>
      <c r="H474" s="47">
        <f t="shared" si="233"/>
        <v>33</v>
      </c>
      <c r="I474" s="4"/>
    </row>
    <row r="475" spans="1:9" ht="63" outlineLevel="4" x14ac:dyDescent="0.25">
      <c r="A475" s="10" t="s">
        <v>27</v>
      </c>
      <c r="B475" s="6" t="s">
        <v>425</v>
      </c>
      <c r="C475" s="6" t="s">
        <v>28</v>
      </c>
      <c r="D475" s="16" t="s">
        <v>118</v>
      </c>
      <c r="E475" s="16" t="s">
        <v>12</v>
      </c>
      <c r="F475" s="47">
        <v>33</v>
      </c>
      <c r="G475" s="47">
        <v>33</v>
      </c>
      <c r="H475" s="47">
        <v>33</v>
      </c>
      <c r="I475" s="4"/>
    </row>
    <row r="476" spans="1:9" ht="47.25" outlineLevel="3" x14ac:dyDescent="0.25">
      <c r="A476" s="10" t="s">
        <v>422</v>
      </c>
      <c r="B476" s="6" t="s">
        <v>426</v>
      </c>
      <c r="C476" s="6" t="s">
        <v>1</v>
      </c>
      <c r="D476" s="16" t="s">
        <v>2</v>
      </c>
      <c r="E476" s="16" t="s">
        <v>2</v>
      </c>
      <c r="F476" s="47">
        <f>F477</f>
        <v>384.3</v>
      </c>
      <c r="G476" s="47">
        <f t="shared" ref="G476:H476" si="234">G477</f>
        <v>0</v>
      </c>
      <c r="H476" s="47">
        <f t="shared" si="234"/>
        <v>0</v>
      </c>
      <c r="I476" s="4"/>
    </row>
    <row r="477" spans="1:9" ht="63" outlineLevel="4" x14ac:dyDescent="0.25">
      <c r="A477" s="10" t="s">
        <v>27</v>
      </c>
      <c r="B477" s="6" t="s">
        <v>426</v>
      </c>
      <c r="C477" s="6" t="s">
        <v>28</v>
      </c>
      <c r="D477" s="16" t="s">
        <v>118</v>
      </c>
      <c r="E477" s="16" t="s">
        <v>12</v>
      </c>
      <c r="F477" s="47">
        <v>384.3</v>
      </c>
      <c r="G477" s="47">
        <v>0</v>
      </c>
      <c r="H477" s="47">
        <v>0</v>
      </c>
      <c r="I477" s="4"/>
    </row>
    <row r="478" spans="1:9" ht="31.5" outlineLevel="3" x14ac:dyDescent="0.25">
      <c r="A478" s="10" t="s">
        <v>427</v>
      </c>
      <c r="B478" s="6" t="s">
        <v>428</v>
      </c>
      <c r="C478" s="6" t="s">
        <v>1</v>
      </c>
      <c r="D478" s="16" t="s">
        <v>2</v>
      </c>
      <c r="E478" s="16" t="s">
        <v>2</v>
      </c>
      <c r="F478" s="47">
        <f>F479</f>
        <v>20798.099999999999</v>
      </c>
      <c r="G478" s="47">
        <f t="shared" ref="G478:H478" si="235">G479</f>
        <v>20578.2</v>
      </c>
      <c r="H478" s="47">
        <f t="shared" si="235"/>
        <v>20583.400000000001</v>
      </c>
      <c r="I478" s="4"/>
    </row>
    <row r="479" spans="1:9" ht="63" outlineLevel="4" x14ac:dyDescent="0.25">
      <c r="A479" s="10" t="s">
        <v>27</v>
      </c>
      <c r="B479" s="6" t="s">
        <v>428</v>
      </c>
      <c r="C479" s="6" t="s">
        <v>28</v>
      </c>
      <c r="D479" s="16" t="s">
        <v>118</v>
      </c>
      <c r="E479" s="16" t="s">
        <v>12</v>
      </c>
      <c r="F479" s="47">
        <v>20798.099999999999</v>
      </c>
      <c r="G479" s="47">
        <v>20578.2</v>
      </c>
      <c r="H479" s="47">
        <v>20583.400000000001</v>
      </c>
      <c r="I479" s="4"/>
    </row>
    <row r="480" spans="1:9" ht="63" outlineLevel="2" x14ac:dyDescent="0.25">
      <c r="A480" s="10" t="s">
        <v>429</v>
      </c>
      <c r="B480" s="6" t="s">
        <v>430</v>
      </c>
      <c r="C480" s="6" t="s">
        <v>1</v>
      </c>
      <c r="D480" s="16" t="s">
        <v>2</v>
      </c>
      <c r="E480" s="16" t="s">
        <v>2</v>
      </c>
      <c r="F480" s="47">
        <f>F481+F483+F485+F487+F489+F491</f>
        <v>69237.7</v>
      </c>
      <c r="G480" s="47">
        <f t="shared" ref="G480:H480" si="236">G481+G483+G485+G487+G489+G491</f>
        <v>72526.7</v>
      </c>
      <c r="H480" s="47">
        <f t="shared" si="236"/>
        <v>72526.7</v>
      </c>
      <c r="I480" s="4"/>
    </row>
    <row r="481" spans="1:9" ht="47.25" outlineLevel="3" x14ac:dyDescent="0.25">
      <c r="A481" s="10" t="s">
        <v>135</v>
      </c>
      <c r="B481" s="6" t="s">
        <v>431</v>
      </c>
      <c r="C481" s="6" t="s">
        <v>1</v>
      </c>
      <c r="D481" s="16" t="s">
        <v>2</v>
      </c>
      <c r="E481" s="16" t="s">
        <v>2</v>
      </c>
      <c r="F481" s="47">
        <f>F482</f>
        <v>5</v>
      </c>
      <c r="G481" s="47">
        <f t="shared" ref="G481:H481" si="237">G482</f>
        <v>5</v>
      </c>
      <c r="H481" s="47">
        <f t="shared" si="237"/>
        <v>5</v>
      </c>
      <c r="I481" s="4"/>
    </row>
    <row r="482" spans="1:9" ht="63" outlineLevel="4" x14ac:dyDescent="0.25">
      <c r="A482" s="10" t="s">
        <v>27</v>
      </c>
      <c r="B482" s="6" t="s">
        <v>431</v>
      </c>
      <c r="C482" s="6" t="s">
        <v>28</v>
      </c>
      <c r="D482" s="16" t="s">
        <v>118</v>
      </c>
      <c r="E482" s="16" t="s">
        <v>12</v>
      </c>
      <c r="F482" s="47">
        <v>5</v>
      </c>
      <c r="G482" s="47">
        <v>5</v>
      </c>
      <c r="H482" s="47">
        <v>5</v>
      </c>
      <c r="I482" s="4"/>
    </row>
    <row r="483" spans="1:9" ht="110.25" outlineLevel="3" x14ac:dyDescent="0.25">
      <c r="A483" s="10" t="s">
        <v>416</v>
      </c>
      <c r="B483" s="6" t="s">
        <v>432</v>
      </c>
      <c r="C483" s="6" t="s">
        <v>1</v>
      </c>
      <c r="D483" s="16" t="s">
        <v>2</v>
      </c>
      <c r="E483" s="16" t="s">
        <v>2</v>
      </c>
      <c r="F483" s="47">
        <f>F484</f>
        <v>18392.599999999999</v>
      </c>
      <c r="G483" s="47">
        <f t="shared" ref="G483:H483" si="238">G484</f>
        <v>18392.599999999999</v>
      </c>
      <c r="H483" s="47">
        <f t="shared" si="238"/>
        <v>18392.599999999999</v>
      </c>
      <c r="I483" s="4"/>
    </row>
    <row r="484" spans="1:9" ht="63" outlineLevel="4" x14ac:dyDescent="0.25">
      <c r="A484" s="10" t="s">
        <v>27</v>
      </c>
      <c r="B484" s="6" t="s">
        <v>432</v>
      </c>
      <c r="C484" s="6" t="s">
        <v>28</v>
      </c>
      <c r="D484" s="16" t="s">
        <v>118</v>
      </c>
      <c r="E484" s="16" t="s">
        <v>12</v>
      </c>
      <c r="F484" s="47">
        <v>18392.599999999999</v>
      </c>
      <c r="G484" s="47">
        <v>18392.599999999999</v>
      </c>
      <c r="H484" s="47">
        <v>18392.599999999999</v>
      </c>
      <c r="I484" s="4"/>
    </row>
    <row r="485" spans="1:9" ht="31.5" outlineLevel="3" x14ac:dyDescent="0.25">
      <c r="A485" s="10" t="s">
        <v>433</v>
      </c>
      <c r="B485" s="6" t="s">
        <v>434</v>
      </c>
      <c r="C485" s="6" t="s">
        <v>1</v>
      </c>
      <c r="D485" s="16" t="s">
        <v>2</v>
      </c>
      <c r="E485" s="16" t="s">
        <v>2</v>
      </c>
      <c r="F485" s="47">
        <f>F486</f>
        <v>10000</v>
      </c>
      <c r="G485" s="47">
        <f t="shared" ref="G485:H485" si="239">G486</f>
        <v>10000</v>
      </c>
      <c r="H485" s="47">
        <f t="shared" si="239"/>
        <v>10000</v>
      </c>
      <c r="I485" s="4"/>
    </row>
    <row r="486" spans="1:9" ht="63" outlineLevel="4" x14ac:dyDescent="0.25">
      <c r="A486" s="10" t="s">
        <v>27</v>
      </c>
      <c r="B486" s="6" t="s">
        <v>434</v>
      </c>
      <c r="C486" s="6" t="s">
        <v>28</v>
      </c>
      <c r="D486" s="16" t="s">
        <v>118</v>
      </c>
      <c r="E486" s="16" t="s">
        <v>12</v>
      </c>
      <c r="F486" s="47">
        <v>10000</v>
      </c>
      <c r="G486" s="47">
        <v>10000</v>
      </c>
      <c r="H486" s="47">
        <v>10000</v>
      </c>
      <c r="I486" s="4"/>
    </row>
    <row r="487" spans="1:9" ht="173.25" outlineLevel="3" x14ac:dyDescent="0.25">
      <c r="A487" s="10" t="s">
        <v>424</v>
      </c>
      <c r="B487" s="6" t="s">
        <v>435</v>
      </c>
      <c r="C487" s="6" t="s">
        <v>1</v>
      </c>
      <c r="D487" s="16" t="s">
        <v>2</v>
      </c>
      <c r="E487" s="16" t="s">
        <v>2</v>
      </c>
      <c r="F487" s="47">
        <f>F488</f>
        <v>86.5</v>
      </c>
      <c r="G487" s="47">
        <f t="shared" ref="G487:H487" si="240">G488</f>
        <v>86.5</v>
      </c>
      <c r="H487" s="47">
        <f t="shared" si="240"/>
        <v>86.5</v>
      </c>
      <c r="I487" s="4"/>
    </row>
    <row r="488" spans="1:9" ht="63" outlineLevel="4" x14ac:dyDescent="0.25">
      <c r="A488" s="10" t="s">
        <v>27</v>
      </c>
      <c r="B488" s="6" t="s">
        <v>435</v>
      </c>
      <c r="C488" s="6" t="s">
        <v>28</v>
      </c>
      <c r="D488" s="16" t="s">
        <v>118</v>
      </c>
      <c r="E488" s="16" t="s">
        <v>12</v>
      </c>
      <c r="F488" s="47">
        <v>86.5</v>
      </c>
      <c r="G488" s="47">
        <v>86.5</v>
      </c>
      <c r="H488" s="47">
        <v>86.5</v>
      </c>
      <c r="I488" s="4"/>
    </row>
    <row r="489" spans="1:9" ht="31.5" outlineLevel="3" x14ac:dyDescent="0.25">
      <c r="A489" s="10" t="s">
        <v>433</v>
      </c>
      <c r="B489" s="6" t="s">
        <v>436</v>
      </c>
      <c r="C489" s="6" t="s">
        <v>1</v>
      </c>
      <c r="D489" s="16" t="s">
        <v>2</v>
      </c>
      <c r="E489" s="16" t="s">
        <v>2</v>
      </c>
      <c r="F489" s="47">
        <f>F490</f>
        <v>6711</v>
      </c>
      <c r="G489" s="47">
        <f t="shared" ref="G489:H489" si="241">G490</f>
        <v>10000</v>
      </c>
      <c r="H489" s="47">
        <f t="shared" si="241"/>
        <v>10000</v>
      </c>
      <c r="I489" s="4"/>
    </row>
    <row r="490" spans="1:9" ht="63" outlineLevel="4" x14ac:dyDescent="0.25">
      <c r="A490" s="10" t="s">
        <v>27</v>
      </c>
      <c r="B490" s="6" t="s">
        <v>436</v>
      </c>
      <c r="C490" s="6" t="s">
        <v>28</v>
      </c>
      <c r="D490" s="16" t="s">
        <v>118</v>
      </c>
      <c r="E490" s="16" t="s">
        <v>12</v>
      </c>
      <c r="F490" s="47">
        <f>10000-3289</f>
        <v>6711</v>
      </c>
      <c r="G490" s="47">
        <v>10000</v>
      </c>
      <c r="H490" s="47">
        <v>10000</v>
      </c>
      <c r="I490" s="4"/>
    </row>
    <row r="491" spans="1:9" ht="47.25" outlineLevel="3" x14ac:dyDescent="0.25">
      <c r="A491" s="10" t="s">
        <v>437</v>
      </c>
      <c r="B491" s="6" t="s">
        <v>438</v>
      </c>
      <c r="C491" s="6" t="s">
        <v>1</v>
      </c>
      <c r="D491" s="16" t="s">
        <v>2</v>
      </c>
      <c r="E491" s="16" t="s">
        <v>2</v>
      </c>
      <c r="F491" s="47">
        <f>F492</f>
        <v>34042.6</v>
      </c>
      <c r="G491" s="47">
        <f t="shared" ref="G491:H491" si="242">G492</f>
        <v>34042.6</v>
      </c>
      <c r="H491" s="47">
        <f t="shared" si="242"/>
        <v>34042.6</v>
      </c>
      <c r="I491" s="4"/>
    </row>
    <row r="492" spans="1:9" ht="63" outlineLevel="4" x14ac:dyDescent="0.25">
      <c r="A492" s="10" t="s">
        <v>27</v>
      </c>
      <c r="B492" s="6" t="s">
        <v>438</v>
      </c>
      <c r="C492" s="6" t="s">
        <v>28</v>
      </c>
      <c r="D492" s="16" t="s">
        <v>118</v>
      </c>
      <c r="E492" s="16" t="s">
        <v>12</v>
      </c>
      <c r="F492" s="47">
        <v>34042.6</v>
      </c>
      <c r="G492" s="47">
        <v>34042.6</v>
      </c>
      <c r="H492" s="47">
        <v>34042.6</v>
      </c>
      <c r="I492" s="4"/>
    </row>
    <row r="493" spans="1:9" ht="47.25" outlineLevel="2" x14ac:dyDescent="0.25">
      <c r="A493" s="10" t="s">
        <v>6</v>
      </c>
      <c r="B493" s="6" t="s">
        <v>439</v>
      </c>
      <c r="C493" s="6" t="s">
        <v>1</v>
      </c>
      <c r="D493" s="16" t="s">
        <v>2</v>
      </c>
      <c r="E493" s="16" t="s">
        <v>2</v>
      </c>
      <c r="F493" s="47">
        <f>F494+F497+F501+F503+F499</f>
        <v>10737.8</v>
      </c>
      <c r="G493" s="47">
        <f t="shared" ref="G493:H493" si="243">G494+G497+G501+G503</f>
        <v>10749.8</v>
      </c>
      <c r="H493" s="47">
        <f t="shared" si="243"/>
        <v>10749.8</v>
      </c>
      <c r="I493" s="4"/>
    </row>
    <row r="494" spans="1:9" ht="47.25" outlineLevel="3" x14ac:dyDescent="0.25">
      <c r="A494" s="10" t="s">
        <v>8</v>
      </c>
      <c r="B494" s="6" t="s">
        <v>440</v>
      </c>
      <c r="C494" s="6" t="s">
        <v>1</v>
      </c>
      <c r="D494" s="16" t="s">
        <v>2</v>
      </c>
      <c r="E494" s="16" t="s">
        <v>2</v>
      </c>
      <c r="F494" s="47">
        <f>F495+F496</f>
        <v>4969.3999999999996</v>
      </c>
      <c r="G494" s="47">
        <f t="shared" ref="G494:H494" si="244">G495+G496</f>
        <v>4981.3999999999996</v>
      </c>
      <c r="H494" s="47">
        <f t="shared" si="244"/>
        <v>4981.3999999999996</v>
      </c>
      <c r="I494" s="4"/>
    </row>
    <row r="495" spans="1:9" ht="110.25" outlineLevel="4" x14ac:dyDescent="0.25">
      <c r="A495" s="10" t="s">
        <v>10</v>
      </c>
      <c r="B495" s="6" t="s">
        <v>440</v>
      </c>
      <c r="C495" s="6" t="s">
        <v>11</v>
      </c>
      <c r="D495" s="16" t="s">
        <v>118</v>
      </c>
      <c r="E495" s="16" t="s">
        <v>44</v>
      </c>
      <c r="F495" s="47">
        <v>4937.3999999999996</v>
      </c>
      <c r="G495" s="47">
        <v>4937.3999999999996</v>
      </c>
      <c r="H495" s="47">
        <v>4937.3999999999996</v>
      </c>
      <c r="I495" s="4"/>
    </row>
    <row r="496" spans="1:9" ht="47.25" outlineLevel="4" x14ac:dyDescent="0.25">
      <c r="A496" s="10" t="s">
        <v>15</v>
      </c>
      <c r="B496" s="6" t="s">
        <v>440</v>
      </c>
      <c r="C496" s="6" t="s">
        <v>16</v>
      </c>
      <c r="D496" s="16" t="s">
        <v>118</v>
      </c>
      <c r="E496" s="16" t="s">
        <v>44</v>
      </c>
      <c r="F496" s="47">
        <v>32</v>
      </c>
      <c r="G496" s="47">
        <v>44</v>
      </c>
      <c r="H496" s="47">
        <v>44</v>
      </c>
      <c r="I496" s="4"/>
    </row>
    <row r="497" spans="1:9" ht="31.5" outlineLevel="3" x14ac:dyDescent="0.25">
      <c r="A497" s="10" t="s">
        <v>441</v>
      </c>
      <c r="B497" s="6" t="s">
        <v>442</v>
      </c>
      <c r="C497" s="6" t="s">
        <v>1</v>
      </c>
      <c r="D497" s="16" t="s">
        <v>2</v>
      </c>
      <c r="E497" s="16" t="s">
        <v>2</v>
      </c>
      <c r="F497" s="47">
        <f>F498</f>
        <v>260</v>
      </c>
      <c r="G497" s="47">
        <f t="shared" ref="G497:H497" si="245">G498</f>
        <v>260</v>
      </c>
      <c r="H497" s="47">
        <f t="shared" si="245"/>
        <v>260</v>
      </c>
      <c r="I497" s="4"/>
    </row>
    <row r="498" spans="1:9" ht="31.5" outlineLevel="4" x14ac:dyDescent="0.25">
      <c r="A498" s="10" t="s">
        <v>66</v>
      </c>
      <c r="B498" s="6" t="s">
        <v>442</v>
      </c>
      <c r="C498" s="6" t="s">
        <v>67</v>
      </c>
      <c r="D498" s="16" t="s">
        <v>118</v>
      </c>
      <c r="E498" s="16" t="s">
        <v>44</v>
      </c>
      <c r="F498" s="47">
        <v>260</v>
      </c>
      <c r="G498" s="47">
        <v>260</v>
      </c>
      <c r="H498" s="47">
        <v>260</v>
      </c>
      <c r="I498" s="4"/>
    </row>
    <row r="499" spans="1:9" ht="47.25" hidden="1" outlineLevel="4" x14ac:dyDescent="0.25">
      <c r="A499" s="41" t="s">
        <v>679</v>
      </c>
      <c r="B499" s="40" t="s">
        <v>680</v>
      </c>
      <c r="C499" s="6" t="s">
        <v>1</v>
      </c>
      <c r="D499" s="16" t="s">
        <v>2</v>
      </c>
      <c r="E499" s="16" t="s">
        <v>2</v>
      </c>
      <c r="F499" s="47">
        <f>F500</f>
        <v>0</v>
      </c>
      <c r="G499" s="47">
        <f t="shared" ref="G499:H499" si="246">G500</f>
        <v>0</v>
      </c>
      <c r="H499" s="47">
        <f t="shared" si="246"/>
        <v>0</v>
      </c>
      <c r="I499" s="4"/>
    </row>
    <row r="500" spans="1:9" ht="31.5" hidden="1" outlineLevel="4" x14ac:dyDescent="0.25">
      <c r="A500" s="10" t="s">
        <v>66</v>
      </c>
      <c r="B500" s="16" t="s">
        <v>680</v>
      </c>
      <c r="C500" s="6" t="s">
        <v>67</v>
      </c>
      <c r="D500" s="16" t="s">
        <v>118</v>
      </c>
      <c r="E500" s="16" t="s">
        <v>44</v>
      </c>
      <c r="F500" s="47">
        <f>243.6-243.6</f>
        <v>0</v>
      </c>
      <c r="G500" s="47">
        <v>0</v>
      </c>
      <c r="H500" s="47">
        <v>0</v>
      </c>
      <c r="I500" s="4"/>
    </row>
    <row r="501" spans="1:9" ht="173.25" outlineLevel="3" collapsed="1" x14ac:dyDescent="0.25">
      <c r="A501" s="10" t="s">
        <v>424</v>
      </c>
      <c r="B501" s="6" t="s">
        <v>443</v>
      </c>
      <c r="C501" s="6" t="s">
        <v>1</v>
      </c>
      <c r="D501" s="16" t="s">
        <v>2</v>
      </c>
      <c r="E501" s="16" t="s">
        <v>2</v>
      </c>
      <c r="F501" s="47">
        <f>F502</f>
        <v>66.5</v>
      </c>
      <c r="G501" s="47">
        <f t="shared" ref="G501:H501" si="247">G502</f>
        <v>66.5</v>
      </c>
      <c r="H501" s="47">
        <f t="shared" si="247"/>
        <v>66.5</v>
      </c>
      <c r="I501" s="4"/>
    </row>
    <row r="502" spans="1:9" ht="31.5" outlineLevel="4" x14ac:dyDescent="0.25">
      <c r="A502" s="10" t="s">
        <v>66</v>
      </c>
      <c r="B502" s="6" t="s">
        <v>443</v>
      </c>
      <c r="C502" s="6" t="s">
        <v>67</v>
      </c>
      <c r="D502" s="16" t="s">
        <v>68</v>
      </c>
      <c r="E502" s="16" t="s">
        <v>29</v>
      </c>
      <c r="F502" s="47">
        <v>66.5</v>
      </c>
      <c r="G502" s="47">
        <v>66.5</v>
      </c>
      <c r="H502" s="47">
        <v>66.5</v>
      </c>
      <c r="I502" s="4"/>
    </row>
    <row r="503" spans="1:9" ht="47.25" outlineLevel="3" x14ac:dyDescent="0.25">
      <c r="A503" s="10" t="s">
        <v>21</v>
      </c>
      <c r="B503" s="6" t="s">
        <v>444</v>
      </c>
      <c r="C503" s="6" t="s">
        <v>1</v>
      </c>
      <c r="D503" s="16" t="s">
        <v>2</v>
      </c>
      <c r="E503" s="16" t="s">
        <v>2</v>
      </c>
      <c r="F503" s="47">
        <f>F504+F505</f>
        <v>5441.9000000000005</v>
      </c>
      <c r="G503" s="47">
        <f t="shared" ref="G503:H503" si="248">G504+G505</f>
        <v>5441.9000000000005</v>
      </c>
      <c r="H503" s="47">
        <f t="shared" si="248"/>
        <v>5441.9000000000005</v>
      </c>
      <c r="I503" s="4"/>
    </row>
    <row r="504" spans="1:9" ht="110.25" outlineLevel="4" x14ac:dyDescent="0.25">
      <c r="A504" s="10" t="s">
        <v>10</v>
      </c>
      <c r="B504" s="6" t="s">
        <v>444</v>
      </c>
      <c r="C504" s="6" t="s">
        <v>11</v>
      </c>
      <c r="D504" s="16" t="s">
        <v>118</v>
      </c>
      <c r="E504" s="16" t="s">
        <v>44</v>
      </c>
      <c r="F504" s="47">
        <v>4954.6000000000004</v>
      </c>
      <c r="G504" s="47">
        <v>4954.6000000000004</v>
      </c>
      <c r="H504" s="47">
        <v>4954.6000000000004</v>
      </c>
      <c r="I504" s="4"/>
    </row>
    <row r="505" spans="1:9" ht="47.25" outlineLevel="4" x14ac:dyDescent="0.25">
      <c r="A505" s="10" t="s">
        <v>15</v>
      </c>
      <c r="B505" s="6" t="s">
        <v>444</v>
      </c>
      <c r="C505" s="6" t="s">
        <v>16</v>
      </c>
      <c r="D505" s="16" t="s">
        <v>118</v>
      </c>
      <c r="E505" s="16" t="s">
        <v>44</v>
      </c>
      <c r="F505" s="47">
        <v>487.3</v>
      </c>
      <c r="G505" s="47">
        <v>487.3</v>
      </c>
      <c r="H505" s="47">
        <v>487.3</v>
      </c>
      <c r="I505" s="4"/>
    </row>
    <row r="506" spans="1:9" ht="47.25" outlineLevel="2" x14ac:dyDescent="0.25">
      <c r="A506" s="10" t="s">
        <v>445</v>
      </c>
      <c r="B506" s="6" t="s">
        <v>446</v>
      </c>
      <c r="C506" s="6" t="s">
        <v>1</v>
      </c>
      <c r="D506" s="16" t="s">
        <v>2</v>
      </c>
      <c r="E506" s="16" t="s">
        <v>2</v>
      </c>
      <c r="F506" s="47">
        <f>F507</f>
        <v>5000</v>
      </c>
      <c r="G506" s="47">
        <f t="shared" ref="G506:H506" si="249">G507</f>
        <v>0</v>
      </c>
      <c r="H506" s="47">
        <f t="shared" si="249"/>
        <v>0</v>
      </c>
      <c r="I506" s="4"/>
    </row>
    <row r="507" spans="1:9" ht="31.5" outlineLevel="3" x14ac:dyDescent="0.25">
      <c r="A507" s="10" t="s">
        <v>447</v>
      </c>
      <c r="B507" s="6" t="s">
        <v>448</v>
      </c>
      <c r="C507" s="6" t="s">
        <v>1</v>
      </c>
      <c r="D507" s="16" t="s">
        <v>2</v>
      </c>
      <c r="E507" s="16" t="s">
        <v>2</v>
      </c>
      <c r="F507" s="47">
        <f>F508</f>
        <v>5000</v>
      </c>
      <c r="G507" s="47">
        <f t="shared" ref="G507:H507" si="250">G508</f>
        <v>0</v>
      </c>
      <c r="H507" s="47">
        <f t="shared" si="250"/>
        <v>0</v>
      </c>
      <c r="I507" s="4"/>
    </row>
    <row r="508" spans="1:9" ht="63" outlineLevel="4" x14ac:dyDescent="0.25">
      <c r="A508" s="10" t="s">
        <v>27</v>
      </c>
      <c r="B508" s="6" t="s">
        <v>448</v>
      </c>
      <c r="C508" s="6" t="s">
        <v>28</v>
      </c>
      <c r="D508" s="16" t="s">
        <v>118</v>
      </c>
      <c r="E508" s="16" t="s">
        <v>12</v>
      </c>
      <c r="F508" s="47">
        <v>5000</v>
      </c>
      <c r="G508" s="47">
        <v>0</v>
      </c>
      <c r="H508" s="47">
        <v>0</v>
      </c>
      <c r="I508" s="4"/>
    </row>
    <row r="509" spans="1:9" s="7" customFormat="1" ht="47.25" x14ac:dyDescent="0.25">
      <c r="A509" s="31" t="s">
        <v>449</v>
      </c>
      <c r="B509" s="32" t="s">
        <v>450</v>
      </c>
      <c r="C509" s="32" t="s">
        <v>1</v>
      </c>
      <c r="D509" s="33" t="s">
        <v>2</v>
      </c>
      <c r="E509" s="33" t="s">
        <v>2</v>
      </c>
      <c r="F509" s="48">
        <f>F510+F534+F563</f>
        <v>122829.91</v>
      </c>
      <c r="G509" s="48">
        <f t="shared" ref="G509:H509" si="251">G510+G534+G563</f>
        <v>110447.2</v>
      </c>
      <c r="H509" s="48">
        <f t="shared" si="251"/>
        <v>109612.9</v>
      </c>
      <c r="I509" s="8"/>
    </row>
    <row r="510" spans="1:9" s="13" customFormat="1" ht="78.75" outlineLevel="1" x14ac:dyDescent="0.25">
      <c r="A510" s="28" t="s">
        <v>451</v>
      </c>
      <c r="B510" s="29" t="s">
        <v>452</v>
      </c>
      <c r="C510" s="29" t="s">
        <v>1</v>
      </c>
      <c r="D510" s="30" t="s">
        <v>2</v>
      </c>
      <c r="E510" s="30" t="s">
        <v>2</v>
      </c>
      <c r="F510" s="46">
        <f>F511+F522</f>
        <v>52993.01</v>
      </c>
      <c r="G510" s="46">
        <f t="shared" ref="G510:H510" si="252">G511+G522</f>
        <v>40639</v>
      </c>
      <c r="H510" s="46">
        <f t="shared" si="252"/>
        <v>39712.799999999996</v>
      </c>
      <c r="I510" s="12"/>
    </row>
    <row r="511" spans="1:9" ht="31.5" outlineLevel="2" x14ac:dyDescent="0.25">
      <c r="A511" s="10" t="s">
        <v>453</v>
      </c>
      <c r="B511" s="6" t="s">
        <v>454</v>
      </c>
      <c r="C511" s="6" t="s">
        <v>1</v>
      </c>
      <c r="D511" s="16" t="s">
        <v>2</v>
      </c>
      <c r="E511" s="16" t="s">
        <v>2</v>
      </c>
      <c r="F511" s="47">
        <f>F512+F514+F518+F520+F516</f>
        <v>46737.71</v>
      </c>
      <c r="G511" s="47">
        <f t="shared" ref="G511:H511" si="253">G512+G514+G518+G520</f>
        <v>34312.699999999997</v>
      </c>
      <c r="H511" s="47">
        <f t="shared" si="253"/>
        <v>33605.799999999996</v>
      </c>
      <c r="I511" s="4"/>
    </row>
    <row r="512" spans="1:9" ht="47.25" outlineLevel="3" x14ac:dyDescent="0.25">
      <c r="A512" s="10" t="s">
        <v>8</v>
      </c>
      <c r="B512" s="6" t="s">
        <v>455</v>
      </c>
      <c r="C512" s="6" t="s">
        <v>1</v>
      </c>
      <c r="D512" s="16" t="s">
        <v>2</v>
      </c>
      <c r="E512" s="16" t="s">
        <v>2</v>
      </c>
      <c r="F512" s="47">
        <f>F513</f>
        <v>31374.1</v>
      </c>
      <c r="G512" s="47">
        <f t="shared" ref="G512:H512" si="254">G513</f>
        <v>31402.799999999999</v>
      </c>
      <c r="H512" s="47">
        <f t="shared" si="254"/>
        <v>31402.799999999999</v>
      </c>
      <c r="I512" s="4"/>
    </row>
    <row r="513" spans="1:9" ht="110.25" outlineLevel="4" x14ac:dyDescent="0.25">
      <c r="A513" s="10" t="s">
        <v>10</v>
      </c>
      <c r="B513" s="6" t="s">
        <v>455</v>
      </c>
      <c r="C513" s="6" t="s">
        <v>11</v>
      </c>
      <c r="D513" s="16" t="s">
        <v>12</v>
      </c>
      <c r="E513" s="16" t="s">
        <v>44</v>
      </c>
      <c r="F513" s="47">
        <f>31402.8-24.3-4.4</f>
        <v>31374.1</v>
      </c>
      <c r="G513" s="47">
        <v>31402.799999999999</v>
      </c>
      <c r="H513" s="47">
        <v>31402.799999999999</v>
      </c>
      <c r="I513" s="4"/>
    </row>
    <row r="514" spans="1:9" ht="47.25" outlineLevel="3" x14ac:dyDescent="0.25">
      <c r="A514" s="10" t="s">
        <v>456</v>
      </c>
      <c r="B514" s="6" t="s">
        <v>457</v>
      </c>
      <c r="C514" s="6" t="s">
        <v>1</v>
      </c>
      <c r="D514" s="16" t="s">
        <v>2</v>
      </c>
      <c r="E514" s="16" t="s">
        <v>2</v>
      </c>
      <c r="F514" s="47">
        <f>F515</f>
        <v>1015</v>
      </c>
      <c r="G514" s="47">
        <f t="shared" ref="G514:H514" si="255">G515</f>
        <v>1015</v>
      </c>
      <c r="H514" s="47">
        <f t="shared" si="255"/>
        <v>400</v>
      </c>
      <c r="I514" s="4"/>
    </row>
    <row r="515" spans="1:9" ht="47.25" outlineLevel="4" x14ac:dyDescent="0.25">
      <c r="A515" s="10" t="s">
        <v>15</v>
      </c>
      <c r="B515" s="6" t="s">
        <v>457</v>
      </c>
      <c r="C515" s="6" t="s">
        <v>16</v>
      </c>
      <c r="D515" s="16" t="s">
        <v>44</v>
      </c>
      <c r="E515" s="16" t="s">
        <v>59</v>
      </c>
      <c r="F515" s="47">
        <v>1015</v>
      </c>
      <c r="G515" s="47">
        <v>1015</v>
      </c>
      <c r="H515" s="47">
        <v>400</v>
      </c>
      <c r="I515" s="4"/>
    </row>
    <row r="516" spans="1:9" ht="47.25" outlineLevel="4" x14ac:dyDescent="0.25">
      <c r="A516" s="41" t="s">
        <v>681</v>
      </c>
      <c r="B516" s="42">
        <v>1010171990</v>
      </c>
      <c r="C516" s="6" t="s">
        <v>1</v>
      </c>
      <c r="D516" s="16" t="s">
        <v>2</v>
      </c>
      <c r="E516" s="16" t="s">
        <v>2</v>
      </c>
      <c r="F516" s="47">
        <f>F517</f>
        <v>12453.71</v>
      </c>
      <c r="G516" s="47">
        <f t="shared" ref="G516:H516" si="256">G517</f>
        <v>0</v>
      </c>
      <c r="H516" s="47">
        <f t="shared" si="256"/>
        <v>0</v>
      </c>
      <c r="I516" s="4"/>
    </row>
    <row r="517" spans="1:9" ht="46.5" customHeight="1" outlineLevel="4" x14ac:dyDescent="0.25">
      <c r="A517" s="10" t="s">
        <v>27</v>
      </c>
      <c r="B517" s="6">
        <v>1010171990</v>
      </c>
      <c r="C517" s="6">
        <v>600</v>
      </c>
      <c r="D517" s="16" t="s">
        <v>44</v>
      </c>
      <c r="E517" s="16" t="s">
        <v>59</v>
      </c>
      <c r="F517" s="47">
        <v>12453.71</v>
      </c>
      <c r="G517" s="47">
        <v>0</v>
      </c>
      <c r="H517" s="47">
        <v>0</v>
      </c>
      <c r="I517" s="4"/>
    </row>
    <row r="518" spans="1:9" ht="47.25" outlineLevel="3" x14ac:dyDescent="0.25">
      <c r="A518" s="10" t="s">
        <v>456</v>
      </c>
      <c r="B518" s="6" t="s">
        <v>458</v>
      </c>
      <c r="C518" s="6" t="s">
        <v>1</v>
      </c>
      <c r="D518" s="16" t="s">
        <v>2</v>
      </c>
      <c r="E518" s="16" t="s">
        <v>2</v>
      </c>
      <c r="F518" s="47">
        <f>F519</f>
        <v>151.69999999999999</v>
      </c>
      <c r="G518" s="47">
        <f t="shared" ref="G518:H518" si="257">G519</f>
        <v>151.69999999999999</v>
      </c>
      <c r="H518" s="47">
        <f t="shared" si="257"/>
        <v>59.8</v>
      </c>
      <c r="I518" s="4"/>
    </row>
    <row r="519" spans="1:9" ht="47.25" outlineLevel="4" x14ac:dyDescent="0.25">
      <c r="A519" s="10" t="s">
        <v>15</v>
      </c>
      <c r="B519" s="6" t="s">
        <v>458</v>
      </c>
      <c r="C519" s="6" t="s">
        <v>16</v>
      </c>
      <c r="D519" s="16" t="s">
        <v>44</v>
      </c>
      <c r="E519" s="16" t="s">
        <v>59</v>
      </c>
      <c r="F519" s="47">
        <v>151.69999999999999</v>
      </c>
      <c r="G519" s="47">
        <v>151.69999999999999</v>
      </c>
      <c r="H519" s="47">
        <v>59.8</v>
      </c>
      <c r="I519" s="4"/>
    </row>
    <row r="520" spans="1:9" ht="31.5" outlineLevel="3" x14ac:dyDescent="0.25">
      <c r="A520" s="10" t="s">
        <v>459</v>
      </c>
      <c r="B520" s="6" t="s">
        <v>460</v>
      </c>
      <c r="C520" s="6" t="s">
        <v>1</v>
      </c>
      <c r="D520" s="16" t="s">
        <v>2</v>
      </c>
      <c r="E520" s="16" t="s">
        <v>2</v>
      </c>
      <c r="F520" s="47">
        <f>F521</f>
        <v>1743.2</v>
      </c>
      <c r="G520" s="47">
        <f t="shared" ref="G520:H520" si="258">G521</f>
        <v>1743.2</v>
      </c>
      <c r="H520" s="47">
        <f t="shared" si="258"/>
        <v>1743.2</v>
      </c>
      <c r="I520" s="4"/>
    </row>
    <row r="521" spans="1:9" ht="110.25" outlineLevel="4" x14ac:dyDescent="0.25">
      <c r="A521" s="10" t="s">
        <v>10</v>
      </c>
      <c r="B521" s="6" t="s">
        <v>460</v>
      </c>
      <c r="C521" s="6" t="s">
        <v>11</v>
      </c>
      <c r="D521" s="16" t="s">
        <v>12</v>
      </c>
      <c r="E521" s="16" t="s">
        <v>53</v>
      </c>
      <c r="F521" s="47">
        <v>1743.2</v>
      </c>
      <c r="G521" s="47">
        <v>1743.2</v>
      </c>
      <c r="H521" s="47">
        <v>1743.2</v>
      </c>
      <c r="I521" s="4"/>
    </row>
    <row r="522" spans="1:9" ht="78.75" outlineLevel="2" x14ac:dyDescent="0.25">
      <c r="A522" s="10" t="s">
        <v>461</v>
      </c>
      <c r="B522" s="6" t="s">
        <v>462</v>
      </c>
      <c r="C522" s="6" t="s">
        <v>1</v>
      </c>
      <c r="D522" s="16" t="s">
        <v>2</v>
      </c>
      <c r="E522" s="16" t="s">
        <v>2</v>
      </c>
      <c r="F522" s="47">
        <f>F523+F525+F528+F531</f>
        <v>6255.3</v>
      </c>
      <c r="G522" s="47">
        <f t="shared" ref="G522:H522" si="259">G523+G525+G528+G531</f>
        <v>6326.3</v>
      </c>
      <c r="H522" s="47">
        <f t="shared" si="259"/>
        <v>6107</v>
      </c>
      <c r="I522" s="4"/>
    </row>
    <row r="523" spans="1:9" ht="78.75" outlineLevel="3" x14ac:dyDescent="0.25">
      <c r="A523" s="10" t="s">
        <v>463</v>
      </c>
      <c r="B523" s="6" t="s">
        <v>464</v>
      </c>
      <c r="C523" s="6" t="s">
        <v>1</v>
      </c>
      <c r="D523" s="16" t="s">
        <v>2</v>
      </c>
      <c r="E523" s="16" t="s">
        <v>2</v>
      </c>
      <c r="F523" s="47">
        <f>F524</f>
        <v>13.8</v>
      </c>
      <c r="G523" s="47">
        <f t="shared" ref="G523:H523" si="260">G524</f>
        <v>142.80000000000001</v>
      </c>
      <c r="H523" s="47">
        <f t="shared" si="260"/>
        <v>1.5</v>
      </c>
      <c r="I523" s="4"/>
    </row>
    <row r="524" spans="1:9" ht="47.25" outlineLevel="4" x14ac:dyDescent="0.25">
      <c r="A524" s="10" t="s">
        <v>15</v>
      </c>
      <c r="B524" s="6" t="s">
        <v>464</v>
      </c>
      <c r="C524" s="6" t="s">
        <v>16</v>
      </c>
      <c r="D524" s="16" t="s">
        <v>12</v>
      </c>
      <c r="E524" s="16" t="s">
        <v>14</v>
      </c>
      <c r="F524" s="47">
        <v>13.8</v>
      </c>
      <c r="G524" s="47">
        <v>142.80000000000001</v>
      </c>
      <c r="H524" s="47">
        <v>1.5</v>
      </c>
      <c r="I524" s="4"/>
    </row>
    <row r="525" spans="1:9" ht="63" outlineLevel="3" x14ac:dyDescent="0.25">
      <c r="A525" s="10" t="s">
        <v>465</v>
      </c>
      <c r="B525" s="6" t="s">
        <v>466</v>
      </c>
      <c r="C525" s="6" t="s">
        <v>1</v>
      </c>
      <c r="D525" s="16" t="s">
        <v>2</v>
      </c>
      <c r="E525" s="16" t="s">
        <v>2</v>
      </c>
      <c r="F525" s="47">
        <f>F526+F527</f>
        <v>4331</v>
      </c>
      <c r="G525" s="47">
        <f t="shared" ref="G525:H525" si="261">G526+G527</f>
        <v>4273</v>
      </c>
      <c r="H525" s="47">
        <f t="shared" si="261"/>
        <v>4195</v>
      </c>
      <c r="I525" s="4"/>
    </row>
    <row r="526" spans="1:9" ht="110.25" outlineLevel="4" x14ac:dyDescent="0.25">
      <c r="A526" s="10" t="s">
        <v>10</v>
      </c>
      <c r="B526" s="6" t="s">
        <v>466</v>
      </c>
      <c r="C526" s="6" t="s">
        <v>11</v>
      </c>
      <c r="D526" s="16" t="s">
        <v>29</v>
      </c>
      <c r="E526" s="16" t="s">
        <v>44</v>
      </c>
      <c r="F526" s="47">
        <f>3652.5-199.7-53.9</f>
        <v>3398.9</v>
      </c>
      <c r="G526" s="47">
        <v>3629.3</v>
      </c>
      <c r="H526" s="47">
        <v>3628.7</v>
      </c>
      <c r="I526" s="4"/>
    </row>
    <row r="527" spans="1:9" ht="47.25" outlineLevel="4" x14ac:dyDescent="0.25">
      <c r="A527" s="10" t="s">
        <v>15</v>
      </c>
      <c r="B527" s="6" t="s">
        <v>466</v>
      </c>
      <c r="C527" s="6" t="s">
        <v>16</v>
      </c>
      <c r="D527" s="16" t="s">
        <v>29</v>
      </c>
      <c r="E527" s="16" t="s">
        <v>44</v>
      </c>
      <c r="F527" s="47">
        <f>542.5+253.6+136</f>
        <v>932.1</v>
      </c>
      <c r="G527" s="47">
        <v>643.70000000000005</v>
      </c>
      <c r="H527" s="47">
        <v>566.29999999999995</v>
      </c>
      <c r="I527" s="4"/>
    </row>
    <row r="528" spans="1:9" ht="47.25" outlineLevel="3" x14ac:dyDescent="0.25">
      <c r="A528" s="10" t="s">
        <v>467</v>
      </c>
      <c r="B528" s="6" t="s">
        <v>468</v>
      </c>
      <c r="C528" s="6" t="s">
        <v>1</v>
      </c>
      <c r="D528" s="16" t="s">
        <v>2</v>
      </c>
      <c r="E528" s="16" t="s">
        <v>2</v>
      </c>
      <c r="F528" s="47">
        <f>F529+F530</f>
        <v>957.19999999999993</v>
      </c>
      <c r="G528" s="47">
        <f t="shared" ref="G528:H528" si="262">G529+G530</f>
        <v>957.19999999999993</v>
      </c>
      <c r="H528" s="47">
        <f t="shared" si="262"/>
        <v>957.19999999999993</v>
      </c>
      <c r="I528" s="4"/>
    </row>
    <row r="529" spans="1:9" ht="110.25" outlineLevel="4" x14ac:dyDescent="0.25">
      <c r="A529" s="10" t="s">
        <v>10</v>
      </c>
      <c r="B529" s="6" t="s">
        <v>468</v>
      </c>
      <c r="C529" s="6" t="s">
        <v>11</v>
      </c>
      <c r="D529" s="16" t="s">
        <v>12</v>
      </c>
      <c r="E529" s="16" t="s">
        <v>44</v>
      </c>
      <c r="F529" s="47">
        <v>802.3</v>
      </c>
      <c r="G529" s="47">
        <v>802.3</v>
      </c>
      <c r="H529" s="47">
        <v>802.3</v>
      </c>
      <c r="I529" s="4"/>
    </row>
    <row r="530" spans="1:9" ht="47.25" outlineLevel="4" x14ac:dyDescent="0.25">
      <c r="A530" s="10" t="s">
        <v>15</v>
      </c>
      <c r="B530" s="6" t="s">
        <v>468</v>
      </c>
      <c r="C530" s="6" t="s">
        <v>16</v>
      </c>
      <c r="D530" s="16" t="s">
        <v>12</v>
      </c>
      <c r="E530" s="16" t="s">
        <v>44</v>
      </c>
      <c r="F530" s="47">
        <v>154.9</v>
      </c>
      <c r="G530" s="47">
        <v>154.9</v>
      </c>
      <c r="H530" s="47">
        <v>154.9</v>
      </c>
      <c r="I530" s="4"/>
    </row>
    <row r="531" spans="1:9" ht="63" outlineLevel="3" x14ac:dyDescent="0.25">
      <c r="A531" s="10" t="s">
        <v>469</v>
      </c>
      <c r="B531" s="6" t="s">
        <v>470</v>
      </c>
      <c r="C531" s="6" t="s">
        <v>1</v>
      </c>
      <c r="D531" s="16" t="s">
        <v>2</v>
      </c>
      <c r="E531" s="16" t="s">
        <v>2</v>
      </c>
      <c r="F531" s="47">
        <f>F532+F533</f>
        <v>953.30000000000007</v>
      </c>
      <c r="G531" s="47">
        <f t="shared" ref="G531:H531" si="263">G532+G533</f>
        <v>953.30000000000007</v>
      </c>
      <c r="H531" s="47">
        <f t="shared" si="263"/>
        <v>953.30000000000007</v>
      </c>
      <c r="I531" s="4"/>
    </row>
    <row r="532" spans="1:9" ht="110.25" outlineLevel="4" x14ac:dyDescent="0.25">
      <c r="A532" s="10" t="s">
        <v>10</v>
      </c>
      <c r="B532" s="6" t="s">
        <v>470</v>
      </c>
      <c r="C532" s="6" t="s">
        <v>11</v>
      </c>
      <c r="D532" s="16" t="s">
        <v>12</v>
      </c>
      <c r="E532" s="16" t="s">
        <v>44</v>
      </c>
      <c r="F532" s="47">
        <v>836.6</v>
      </c>
      <c r="G532" s="47">
        <v>836.6</v>
      </c>
      <c r="H532" s="47">
        <v>836.6</v>
      </c>
      <c r="I532" s="4"/>
    </row>
    <row r="533" spans="1:9" ht="47.25" outlineLevel="4" x14ac:dyDescent="0.25">
      <c r="A533" s="10" t="s">
        <v>15</v>
      </c>
      <c r="B533" s="6" t="s">
        <v>470</v>
      </c>
      <c r="C533" s="6" t="s">
        <v>16</v>
      </c>
      <c r="D533" s="16" t="s">
        <v>12</v>
      </c>
      <c r="E533" s="16" t="s">
        <v>44</v>
      </c>
      <c r="F533" s="47">
        <v>116.7</v>
      </c>
      <c r="G533" s="47">
        <v>116.7</v>
      </c>
      <c r="H533" s="47">
        <v>116.7</v>
      </c>
      <c r="I533" s="4"/>
    </row>
    <row r="534" spans="1:9" s="13" customFormat="1" ht="78.75" outlineLevel="1" x14ac:dyDescent="0.25">
      <c r="A534" s="28" t="s">
        <v>471</v>
      </c>
      <c r="B534" s="29" t="s">
        <v>472</v>
      </c>
      <c r="C534" s="29" t="s">
        <v>1</v>
      </c>
      <c r="D534" s="30" t="s">
        <v>2</v>
      </c>
      <c r="E534" s="30" t="s">
        <v>2</v>
      </c>
      <c r="F534" s="46">
        <f>F535+F543+F548+F560</f>
        <v>62201.900000000009</v>
      </c>
      <c r="G534" s="46">
        <f t="shared" ref="G534:H534" si="264">G535+G543+G548+G560</f>
        <v>62173.2</v>
      </c>
      <c r="H534" s="46">
        <f t="shared" si="264"/>
        <v>62265.1</v>
      </c>
      <c r="I534" s="12"/>
    </row>
    <row r="535" spans="1:9" ht="47.25" outlineLevel="2" x14ac:dyDescent="0.25">
      <c r="A535" s="10" t="s">
        <v>473</v>
      </c>
      <c r="B535" s="6" t="s">
        <v>474</v>
      </c>
      <c r="C535" s="6" t="s">
        <v>1</v>
      </c>
      <c r="D535" s="16" t="s">
        <v>2</v>
      </c>
      <c r="E535" s="16" t="s">
        <v>2</v>
      </c>
      <c r="F535" s="47">
        <f>F536+F540</f>
        <v>21773.5</v>
      </c>
      <c r="G535" s="47">
        <f t="shared" ref="G535:H535" si="265">G536+G540</f>
        <v>21913.5</v>
      </c>
      <c r="H535" s="47">
        <f t="shared" si="265"/>
        <v>22005.4</v>
      </c>
      <c r="I535" s="4"/>
    </row>
    <row r="536" spans="1:9" ht="78.75" outlineLevel="3" x14ac:dyDescent="0.25">
      <c r="A536" s="10" t="s">
        <v>475</v>
      </c>
      <c r="B536" s="6" t="s">
        <v>476</v>
      </c>
      <c r="C536" s="6" t="s">
        <v>1</v>
      </c>
      <c r="D536" s="16" t="s">
        <v>2</v>
      </c>
      <c r="E536" s="16" t="s">
        <v>2</v>
      </c>
      <c r="F536" s="47">
        <f>F537+F538+F539</f>
        <v>18067.900000000001</v>
      </c>
      <c r="G536" s="47">
        <f t="shared" ref="G536:H536" si="266">G537+G538+G539</f>
        <v>18207.900000000001</v>
      </c>
      <c r="H536" s="47">
        <f t="shared" si="266"/>
        <v>18299.8</v>
      </c>
      <c r="I536" s="4"/>
    </row>
    <row r="537" spans="1:9" ht="110.25" outlineLevel="4" x14ac:dyDescent="0.25">
      <c r="A537" s="10" t="s">
        <v>10</v>
      </c>
      <c r="B537" s="6" t="s">
        <v>476</v>
      </c>
      <c r="C537" s="6" t="s">
        <v>11</v>
      </c>
      <c r="D537" s="16" t="s">
        <v>12</v>
      </c>
      <c r="E537" s="16" t="s">
        <v>13</v>
      </c>
      <c r="F537" s="47">
        <f>10078.4-13</f>
        <v>10065.4</v>
      </c>
      <c r="G537" s="47">
        <v>10078.4</v>
      </c>
      <c r="H537" s="47">
        <v>10078.4</v>
      </c>
      <c r="I537" s="4"/>
    </row>
    <row r="538" spans="1:9" ht="47.25" outlineLevel="4" x14ac:dyDescent="0.25">
      <c r="A538" s="10" t="s">
        <v>15</v>
      </c>
      <c r="B538" s="6" t="s">
        <v>476</v>
      </c>
      <c r="C538" s="6" t="s">
        <v>16</v>
      </c>
      <c r="D538" s="16" t="s">
        <v>12</v>
      </c>
      <c r="E538" s="16" t="s">
        <v>13</v>
      </c>
      <c r="F538" s="47">
        <f>7599.5-140</f>
        <v>7459.5</v>
      </c>
      <c r="G538" s="47">
        <v>7599.5</v>
      </c>
      <c r="H538" s="47">
        <v>7691.4</v>
      </c>
      <c r="I538" s="4"/>
    </row>
    <row r="539" spans="1:9" outlineLevel="4" x14ac:dyDescent="0.25">
      <c r="A539" s="10" t="s">
        <v>19</v>
      </c>
      <c r="B539" s="6" t="s">
        <v>476</v>
      </c>
      <c r="C539" s="6" t="s">
        <v>20</v>
      </c>
      <c r="D539" s="16" t="s">
        <v>12</v>
      </c>
      <c r="E539" s="16" t="s">
        <v>13</v>
      </c>
      <c r="F539" s="47">
        <f>530+13</f>
        <v>543</v>
      </c>
      <c r="G539" s="47">
        <v>530</v>
      </c>
      <c r="H539" s="47">
        <v>530</v>
      </c>
      <c r="I539" s="4"/>
    </row>
    <row r="540" spans="1:9" ht="47.25" outlineLevel="3" x14ac:dyDescent="0.25">
      <c r="A540" s="10" t="s">
        <v>21</v>
      </c>
      <c r="B540" s="6" t="s">
        <v>477</v>
      </c>
      <c r="C540" s="6" t="s">
        <v>1</v>
      </c>
      <c r="D540" s="16" t="s">
        <v>2</v>
      </c>
      <c r="E540" s="16" t="s">
        <v>2</v>
      </c>
      <c r="F540" s="47">
        <f>F541+F542</f>
        <v>3705.6000000000004</v>
      </c>
      <c r="G540" s="47">
        <f t="shared" ref="G540:H540" si="267">G541+G542</f>
        <v>3705.6000000000004</v>
      </c>
      <c r="H540" s="47">
        <f t="shared" si="267"/>
        <v>3705.6000000000004</v>
      </c>
      <c r="I540" s="4"/>
    </row>
    <row r="541" spans="1:9" ht="110.25" outlineLevel="4" x14ac:dyDescent="0.25">
      <c r="A541" s="10" t="s">
        <v>10</v>
      </c>
      <c r="B541" s="6" t="s">
        <v>477</v>
      </c>
      <c r="C541" s="6" t="s">
        <v>11</v>
      </c>
      <c r="D541" s="16" t="s">
        <v>12</v>
      </c>
      <c r="E541" s="16" t="s">
        <v>13</v>
      </c>
      <c r="F541" s="47">
        <v>3413.8</v>
      </c>
      <c r="G541" s="47">
        <v>3413.8</v>
      </c>
      <c r="H541" s="47">
        <v>3413.8</v>
      </c>
      <c r="I541" s="4"/>
    </row>
    <row r="542" spans="1:9" ht="47.25" outlineLevel="4" x14ac:dyDescent="0.25">
      <c r="A542" s="10" t="s">
        <v>15</v>
      </c>
      <c r="B542" s="6" t="s">
        <v>477</v>
      </c>
      <c r="C542" s="6" t="s">
        <v>16</v>
      </c>
      <c r="D542" s="16" t="s">
        <v>12</v>
      </c>
      <c r="E542" s="16" t="s">
        <v>13</v>
      </c>
      <c r="F542" s="47">
        <v>291.8</v>
      </c>
      <c r="G542" s="47">
        <v>291.8</v>
      </c>
      <c r="H542" s="47">
        <v>291.8</v>
      </c>
      <c r="I542" s="4"/>
    </row>
    <row r="543" spans="1:9" ht="63" outlineLevel="2" x14ac:dyDescent="0.25">
      <c r="A543" s="10" t="s">
        <v>478</v>
      </c>
      <c r="B543" s="6" t="s">
        <v>479</v>
      </c>
      <c r="C543" s="6" t="s">
        <v>1</v>
      </c>
      <c r="D543" s="16" t="s">
        <v>2</v>
      </c>
      <c r="E543" s="16" t="s">
        <v>2</v>
      </c>
      <c r="F543" s="47">
        <f>F544+F546</f>
        <v>665.72411</v>
      </c>
      <c r="G543" s="47">
        <f t="shared" ref="G543:H543" si="268">G544+G546</f>
        <v>731</v>
      </c>
      <c r="H543" s="47">
        <f t="shared" si="268"/>
        <v>731</v>
      </c>
      <c r="I543" s="4"/>
    </row>
    <row r="544" spans="1:9" ht="63" outlineLevel="3" x14ac:dyDescent="0.25">
      <c r="A544" s="10" t="s">
        <v>480</v>
      </c>
      <c r="B544" s="6" t="s">
        <v>481</v>
      </c>
      <c r="C544" s="6" t="s">
        <v>1</v>
      </c>
      <c r="D544" s="16" t="s">
        <v>2</v>
      </c>
      <c r="E544" s="16" t="s">
        <v>2</v>
      </c>
      <c r="F544" s="47">
        <f>F545</f>
        <v>551</v>
      </c>
      <c r="G544" s="47">
        <f t="shared" ref="G544:H544" si="269">G545</f>
        <v>551</v>
      </c>
      <c r="H544" s="47">
        <f t="shared" si="269"/>
        <v>551</v>
      </c>
      <c r="I544" s="4"/>
    </row>
    <row r="545" spans="1:9" ht="47.25" outlineLevel="4" x14ac:dyDescent="0.25">
      <c r="A545" s="10" t="s">
        <v>15</v>
      </c>
      <c r="B545" s="6" t="s">
        <v>481</v>
      </c>
      <c r="C545" s="6" t="s">
        <v>16</v>
      </c>
      <c r="D545" s="16" t="s">
        <v>12</v>
      </c>
      <c r="E545" s="16" t="s">
        <v>13</v>
      </c>
      <c r="F545" s="47">
        <v>551</v>
      </c>
      <c r="G545" s="47">
        <v>551</v>
      </c>
      <c r="H545" s="47">
        <v>551</v>
      </c>
      <c r="I545" s="4"/>
    </row>
    <row r="546" spans="1:9" ht="47.25" outlineLevel="3" x14ac:dyDescent="0.25">
      <c r="A546" s="10" t="s">
        <v>482</v>
      </c>
      <c r="B546" s="6" t="s">
        <v>483</v>
      </c>
      <c r="C546" s="6" t="s">
        <v>1</v>
      </c>
      <c r="D546" s="16" t="s">
        <v>2</v>
      </c>
      <c r="E546" s="16" t="s">
        <v>2</v>
      </c>
      <c r="F546" s="47">
        <f>F547</f>
        <v>114.72411</v>
      </c>
      <c r="G546" s="47">
        <f t="shared" ref="G546:H546" si="270">G547</f>
        <v>180</v>
      </c>
      <c r="H546" s="47">
        <f t="shared" si="270"/>
        <v>180</v>
      </c>
      <c r="I546" s="4"/>
    </row>
    <row r="547" spans="1:9" ht="47.25" outlineLevel="4" x14ac:dyDescent="0.25">
      <c r="A547" s="10" t="s">
        <v>15</v>
      </c>
      <c r="B547" s="6" t="s">
        <v>483</v>
      </c>
      <c r="C547" s="6" t="s">
        <v>16</v>
      </c>
      <c r="D547" s="16" t="s">
        <v>12</v>
      </c>
      <c r="E547" s="16" t="s">
        <v>13</v>
      </c>
      <c r="F547" s="47">
        <f>180-65.27589</f>
        <v>114.72411</v>
      </c>
      <c r="G547" s="47">
        <v>180</v>
      </c>
      <c r="H547" s="47">
        <v>180</v>
      </c>
      <c r="I547" s="4"/>
    </row>
    <row r="548" spans="1:9" ht="47.25" outlineLevel="2" x14ac:dyDescent="0.25">
      <c r="A548" s="10" t="s">
        <v>6</v>
      </c>
      <c r="B548" s="6" t="s">
        <v>484</v>
      </c>
      <c r="C548" s="6" t="s">
        <v>1</v>
      </c>
      <c r="D548" s="16" t="s">
        <v>2</v>
      </c>
      <c r="E548" s="16" t="s">
        <v>2</v>
      </c>
      <c r="F548" s="47">
        <f>F549+F558+F556+F554</f>
        <v>39272.675890000006</v>
      </c>
      <c r="G548" s="47">
        <f t="shared" ref="G548:H548" si="271">G549+G558+G556</f>
        <v>39038.699999999997</v>
      </c>
      <c r="H548" s="47">
        <f t="shared" si="271"/>
        <v>39038.699999999997</v>
      </c>
      <c r="I548" s="4"/>
    </row>
    <row r="549" spans="1:9" ht="47.25" outlineLevel="3" x14ac:dyDescent="0.25">
      <c r="A549" s="10" t="s">
        <v>485</v>
      </c>
      <c r="B549" s="6" t="s">
        <v>486</v>
      </c>
      <c r="C549" s="6" t="s">
        <v>1</v>
      </c>
      <c r="D549" s="16" t="s">
        <v>2</v>
      </c>
      <c r="E549" s="16" t="s">
        <v>2</v>
      </c>
      <c r="F549" s="47">
        <f>F550+F551+F552+F553</f>
        <v>38744.975890000002</v>
      </c>
      <c r="G549" s="47">
        <f t="shared" ref="G549:H549" si="272">G550+G551+G552+G553</f>
        <v>38539.699999999997</v>
      </c>
      <c r="H549" s="47">
        <f t="shared" si="272"/>
        <v>38539.699999999997</v>
      </c>
      <c r="I549" s="4"/>
    </row>
    <row r="550" spans="1:9" ht="110.25" outlineLevel="4" x14ac:dyDescent="0.25">
      <c r="A550" s="10" t="s">
        <v>10</v>
      </c>
      <c r="B550" s="6" t="s">
        <v>486</v>
      </c>
      <c r="C550" s="6" t="s">
        <v>11</v>
      </c>
      <c r="D550" s="16" t="s">
        <v>12</v>
      </c>
      <c r="E550" s="16" t="s">
        <v>13</v>
      </c>
      <c r="F550" s="47">
        <v>32930.199999999997</v>
      </c>
      <c r="G550" s="47">
        <v>32930.199999999997</v>
      </c>
      <c r="H550" s="47">
        <v>32930.199999999997</v>
      </c>
      <c r="I550" s="4"/>
    </row>
    <row r="551" spans="1:9" ht="47.25" outlineLevel="4" x14ac:dyDescent="0.25">
      <c r="A551" s="10" t="s">
        <v>15</v>
      </c>
      <c r="B551" s="6" t="s">
        <v>486</v>
      </c>
      <c r="C551" s="6" t="s">
        <v>16</v>
      </c>
      <c r="D551" s="16" t="s">
        <v>12</v>
      </c>
      <c r="E551" s="16" t="s">
        <v>13</v>
      </c>
      <c r="F551" s="47">
        <f>2819.1+205.27589</f>
        <v>3024.3758899999998</v>
      </c>
      <c r="G551" s="47">
        <v>2819.1</v>
      </c>
      <c r="H551" s="47">
        <v>2819.1</v>
      </c>
      <c r="I551" s="4"/>
    </row>
    <row r="552" spans="1:9" ht="63" outlineLevel="4" x14ac:dyDescent="0.25">
      <c r="A552" s="10" t="s">
        <v>27</v>
      </c>
      <c r="B552" s="6" t="s">
        <v>486</v>
      </c>
      <c r="C552" s="6" t="s">
        <v>28</v>
      </c>
      <c r="D552" s="16" t="s">
        <v>44</v>
      </c>
      <c r="E552" s="16" t="s">
        <v>59</v>
      </c>
      <c r="F552" s="47">
        <v>2788.8</v>
      </c>
      <c r="G552" s="47">
        <v>2788.8</v>
      </c>
      <c r="H552" s="47">
        <v>2788.8</v>
      </c>
      <c r="I552" s="4"/>
    </row>
    <row r="553" spans="1:9" outlineLevel="4" x14ac:dyDescent="0.25">
      <c r="A553" s="10" t="s">
        <v>19</v>
      </c>
      <c r="B553" s="6" t="s">
        <v>486</v>
      </c>
      <c r="C553" s="6" t="s">
        <v>20</v>
      </c>
      <c r="D553" s="16" t="s">
        <v>12</v>
      </c>
      <c r="E553" s="16" t="s">
        <v>13</v>
      </c>
      <c r="F553" s="47">
        <v>1.6</v>
      </c>
      <c r="G553" s="47">
        <v>1.6</v>
      </c>
      <c r="H553" s="47">
        <v>1.6</v>
      </c>
      <c r="I553" s="4"/>
    </row>
    <row r="554" spans="1:9" outlineLevel="4" x14ac:dyDescent="0.25">
      <c r="A554" s="10" t="s">
        <v>623</v>
      </c>
      <c r="B554" s="6">
        <v>1020310040</v>
      </c>
      <c r="C554" s="6" t="s">
        <v>1</v>
      </c>
      <c r="D554" s="16" t="s">
        <v>12</v>
      </c>
      <c r="E554" s="16" t="s">
        <v>13</v>
      </c>
      <c r="F554" s="47">
        <f>F555</f>
        <v>4.4000000000000004</v>
      </c>
      <c r="G554" s="47">
        <f t="shared" ref="G554:H554" si="273">G555</f>
        <v>0</v>
      </c>
      <c r="H554" s="47">
        <f t="shared" si="273"/>
        <v>0</v>
      </c>
      <c r="I554" s="4"/>
    </row>
    <row r="555" spans="1:9" outlineLevel="4" x14ac:dyDescent="0.25">
      <c r="A555" s="10" t="s">
        <v>621</v>
      </c>
      <c r="B555" s="6">
        <v>1020310040</v>
      </c>
      <c r="C555" s="6">
        <v>800</v>
      </c>
      <c r="D555" s="16" t="s">
        <v>12</v>
      </c>
      <c r="E555" s="16" t="s">
        <v>13</v>
      </c>
      <c r="F555" s="47">
        <v>4.4000000000000004</v>
      </c>
      <c r="G555" s="47">
        <v>0</v>
      </c>
      <c r="H555" s="47">
        <v>0</v>
      </c>
      <c r="I555" s="4"/>
    </row>
    <row r="556" spans="1:9" outlineLevel="4" x14ac:dyDescent="0.25">
      <c r="A556" s="10" t="s">
        <v>623</v>
      </c>
      <c r="B556" s="6">
        <v>1020310040</v>
      </c>
      <c r="C556" s="6" t="s">
        <v>1</v>
      </c>
      <c r="D556" s="16" t="s">
        <v>14</v>
      </c>
      <c r="E556" s="16" t="s">
        <v>14</v>
      </c>
      <c r="F556" s="47">
        <f>F557</f>
        <v>24.3</v>
      </c>
      <c r="G556" s="47">
        <f t="shared" ref="G556:H556" si="274">G557</f>
        <v>0</v>
      </c>
      <c r="H556" s="47">
        <f t="shared" si="274"/>
        <v>0</v>
      </c>
      <c r="I556" s="4"/>
    </row>
    <row r="557" spans="1:9" outlineLevel="4" x14ac:dyDescent="0.25">
      <c r="A557" s="10" t="s">
        <v>621</v>
      </c>
      <c r="B557" s="6">
        <v>1020310040</v>
      </c>
      <c r="C557" s="6">
        <v>800</v>
      </c>
      <c r="D557" s="16" t="s">
        <v>14</v>
      </c>
      <c r="E557" s="16" t="s">
        <v>14</v>
      </c>
      <c r="F557" s="47">
        <v>24.3</v>
      </c>
      <c r="G557" s="47">
        <v>0</v>
      </c>
      <c r="H557" s="47">
        <v>0</v>
      </c>
      <c r="I557" s="4"/>
    </row>
    <row r="558" spans="1:9" ht="78.75" outlineLevel="3" x14ac:dyDescent="0.25">
      <c r="A558" s="10" t="s">
        <v>487</v>
      </c>
      <c r="B558" s="6" t="s">
        <v>488</v>
      </c>
      <c r="C558" s="6" t="s">
        <v>1</v>
      </c>
      <c r="D558" s="16" t="s">
        <v>2</v>
      </c>
      <c r="E558" s="16" t="s">
        <v>2</v>
      </c>
      <c r="F558" s="47">
        <f>F559</f>
        <v>499</v>
      </c>
      <c r="G558" s="47">
        <f t="shared" ref="G558:H558" si="275">G559</f>
        <v>499</v>
      </c>
      <c r="H558" s="47">
        <f t="shared" si="275"/>
        <v>499</v>
      </c>
      <c r="I558" s="4"/>
    </row>
    <row r="559" spans="1:9" ht="31.5" outlineLevel="4" x14ac:dyDescent="0.25">
      <c r="A559" s="10" t="s">
        <v>66</v>
      </c>
      <c r="B559" s="6" t="s">
        <v>488</v>
      </c>
      <c r="C559" s="6" t="s">
        <v>67</v>
      </c>
      <c r="D559" s="16" t="s">
        <v>12</v>
      </c>
      <c r="E559" s="16" t="s">
        <v>13</v>
      </c>
      <c r="F559" s="47">
        <v>499</v>
      </c>
      <c r="G559" s="47">
        <v>499</v>
      </c>
      <c r="H559" s="47">
        <v>499</v>
      </c>
      <c r="I559" s="4"/>
    </row>
    <row r="560" spans="1:9" ht="47.25" outlineLevel="2" x14ac:dyDescent="0.25">
      <c r="A560" s="10" t="s">
        <v>489</v>
      </c>
      <c r="B560" s="6" t="s">
        <v>490</v>
      </c>
      <c r="C560" s="6" t="s">
        <v>1</v>
      </c>
      <c r="D560" s="16" t="s">
        <v>2</v>
      </c>
      <c r="E560" s="16" t="s">
        <v>2</v>
      </c>
      <c r="F560" s="47">
        <f>F561</f>
        <v>490</v>
      </c>
      <c r="G560" s="47">
        <f t="shared" ref="G560:H561" si="276">G561</f>
        <v>490</v>
      </c>
      <c r="H560" s="47">
        <f t="shared" si="276"/>
        <v>490</v>
      </c>
      <c r="I560" s="4"/>
    </row>
    <row r="561" spans="1:9" ht="31.5" outlineLevel="3" x14ac:dyDescent="0.25">
      <c r="A561" s="10" t="s">
        <v>491</v>
      </c>
      <c r="B561" s="6" t="s">
        <v>492</v>
      </c>
      <c r="C561" s="6" t="s">
        <v>1</v>
      </c>
      <c r="D561" s="16" t="s">
        <v>2</v>
      </c>
      <c r="E561" s="16" t="s">
        <v>2</v>
      </c>
      <c r="F561" s="47">
        <f>F562</f>
        <v>490</v>
      </c>
      <c r="G561" s="47">
        <f t="shared" si="276"/>
        <v>490</v>
      </c>
      <c r="H561" s="47">
        <f t="shared" si="276"/>
        <v>490</v>
      </c>
      <c r="I561" s="4"/>
    </row>
    <row r="562" spans="1:9" ht="31.5" outlineLevel="4" x14ac:dyDescent="0.25">
      <c r="A562" s="10" t="s">
        <v>66</v>
      </c>
      <c r="B562" s="6" t="s">
        <v>492</v>
      </c>
      <c r="C562" s="6" t="s">
        <v>67</v>
      </c>
      <c r="D562" s="16" t="s">
        <v>29</v>
      </c>
      <c r="E562" s="16" t="s">
        <v>493</v>
      </c>
      <c r="F562" s="47">
        <v>490</v>
      </c>
      <c r="G562" s="47">
        <v>490</v>
      </c>
      <c r="H562" s="47">
        <v>490</v>
      </c>
      <c r="I562" s="4"/>
    </row>
    <row r="563" spans="1:9" s="13" customFormat="1" ht="47.25" outlineLevel="1" x14ac:dyDescent="0.25">
      <c r="A563" s="28" t="s">
        <v>494</v>
      </c>
      <c r="B563" s="29" t="s">
        <v>495</v>
      </c>
      <c r="C563" s="29" t="s">
        <v>1</v>
      </c>
      <c r="D563" s="30" t="s">
        <v>2</v>
      </c>
      <c r="E563" s="30" t="s">
        <v>2</v>
      </c>
      <c r="F563" s="46">
        <f>F564</f>
        <v>7635</v>
      </c>
      <c r="G563" s="46">
        <f t="shared" ref="G563:H564" si="277">G564</f>
        <v>7635</v>
      </c>
      <c r="H563" s="46">
        <f t="shared" si="277"/>
        <v>7635</v>
      </c>
      <c r="I563" s="12"/>
    </row>
    <row r="564" spans="1:9" ht="63" outlineLevel="2" x14ac:dyDescent="0.25">
      <c r="A564" s="10" t="s">
        <v>496</v>
      </c>
      <c r="B564" s="6" t="s">
        <v>497</v>
      </c>
      <c r="C564" s="6" t="s">
        <v>1</v>
      </c>
      <c r="D564" s="16" t="s">
        <v>2</v>
      </c>
      <c r="E564" s="16" t="s">
        <v>2</v>
      </c>
      <c r="F564" s="47">
        <f>F565</f>
        <v>7635</v>
      </c>
      <c r="G564" s="47">
        <f t="shared" si="277"/>
        <v>7635</v>
      </c>
      <c r="H564" s="47">
        <f t="shared" si="277"/>
        <v>7635</v>
      </c>
      <c r="I564" s="4"/>
    </row>
    <row r="565" spans="1:9" ht="63" outlineLevel="3" x14ac:dyDescent="0.25">
      <c r="A565" s="10" t="s">
        <v>498</v>
      </c>
      <c r="B565" s="6" t="s">
        <v>499</v>
      </c>
      <c r="C565" s="6" t="s">
        <v>1</v>
      </c>
      <c r="D565" s="16" t="s">
        <v>2</v>
      </c>
      <c r="E565" s="16" t="s">
        <v>2</v>
      </c>
      <c r="F565" s="47">
        <f>F566+F567</f>
        <v>7635</v>
      </c>
      <c r="G565" s="47">
        <f t="shared" ref="G565:H565" si="278">G566+G567</f>
        <v>7635</v>
      </c>
      <c r="H565" s="47">
        <f t="shared" si="278"/>
        <v>7635</v>
      </c>
      <c r="I565" s="4"/>
    </row>
    <row r="566" spans="1:9" ht="63" outlineLevel="6" x14ac:dyDescent="0.25">
      <c r="A566" s="10" t="s">
        <v>27</v>
      </c>
      <c r="B566" s="6" t="s">
        <v>499</v>
      </c>
      <c r="C566" s="6" t="s">
        <v>28</v>
      </c>
      <c r="D566" s="16" t="s">
        <v>59</v>
      </c>
      <c r="E566" s="16" t="s">
        <v>12</v>
      </c>
      <c r="F566" s="47">
        <v>4086</v>
      </c>
      <c r="G566" s="47">
        <v>4086</v>
      </c>
      <c r="H566" s="47">
        <v>4086</v>
      </c>
      <c r="I566" s="4"/>
    </row>
    <row r="567" spans="1:9" ht="63" outlineLevel="6" x14ac:dyDescent="0.25">
      <c r="A567" s="10" t="s">
        <v>27</v>
      </c>
      <c r="B567" s="6" t="s">
        <v>499</v>
      </c>
      <c r="C567" s="6" t="s">
        <v>28</v>
      </c>
      <c r="D567" s="16" t="s">
        <v>59</v>
      </c>
      <c r="E567" s="16" t="s">
        <v>53</v>
      </c>
      <c r="F567" s="47">
        <v>3549</v>
      </c>
      <c r="G567" s="47">
        <v>3549</v>
      </c>
      <c r="H567" s="47">
        <v>3549</v>
      </c>
      <c r="I567" s="4"/>
    </row>
    <row r="568" spans="1:9" s="7" customFormat="1" ht="63" x14ac:dyDescent="0.25">
      <c r="A568" s="31" t="s">
        <v>500</v>
      </c>
      <c r="B568" s="32" t="s">
        <v>501</v>
      </c>
      <c r="C568" s="32" t="s">
        <v>1</v>
      </c>
      <c r="D568" s="33" t="s">
        <v>2</v>
      </c>
      <c r="E568" s="33" t="s">
        <v>2</v>
      </c>
      <c r="F568" s="48">
        <f>F569</f>
        <v>1366.9</v>
      </c>
      <c r="G568" s="48">
        <f t="shared" ref="G568:H569" si="279">G569</f>
        <v>1366.9</v>
      </c>
      <c r="H568" s="48">
        <f t="shared" si="279"/>
        <v>1366.9</v>
      </c>
      <c r="I568" s="8"/>
    </row>
    <row r="569" spans="1:9" ht="47.25" outlineLevel="2" x14ac:dyDescent="0.25">
      <c r="A569" s="10" t="s">
        <v>502</v>
      </c>
      <c r="B569" s="6" t="s">
        <v>503</v>
      </c>
      <c r="C569" s="6" t="s">
        <v>1</v>
      </c>
      <c r="D569" s="16" t="s">
        <v>2</v>
      </c>
      <c r="E569" s="16" t="s">
        <v>2</v>
      </c>
      <c r="F569" s="47">
        <f>F570</f>
        <v>1366.9</v>
      </c>
      <c r="G569" s="47">
        <f t="shared" si="279"/>
        <v>1366.9</v>
      </c>
      <c r="H569" s="47">
        <f t="shared" si="279"/>
        <v>1366.9</v>
      </c>
      <c r="I569" s="4"/>
    </row>
    <row r="570" spans="1:9" ht="63" outlineLevel="3" x14ac:dyDescent="0.25">
      <c r="A570" s="10" t="s">
        <v>504</v>
      </c>
      <c r="B570" s="6" t="s">
        <v>505</v>
      </c>
      <c r="C570" s="6" t="s">
        <v>1</v>
      </c>
      <c r="D570" s="16" t="s">
        <v>2</v>
      </c>
      <c r="E570" s="16" t="s">
        <v>2</v>
      </c>
      <c r="F570" s="47">
        <f>F571</f>
        <v>1366.9</v>
      </c>
      <c r="G570" s="47">
        <f t="shared" ref="G570:H570" si="280">G571</f>
        <v>1366.9</v>
      </c>
      <c r="H570" s="47">
        <f t="shared" si="280"/>
        <v>1366.9</v>
      </c>
      <c r="I570" s="4"/>
    </row>
    <row r="571" spans="1:9" ht="63" outlineLevel="4" x14ac:dyDescent="0.25">
      <c r="A571" s="10" t="s">
        <v>27</v>
      </c>
      <c r="B571" s="6" t="s">
        <v>505</v>
      </c>
      <c r="C571" s="6" t="s">
        <v>28</v>
      </c>
      <c r="D571" s="16" t="s">
        <v>44</v>
      </c>
      <c r="E571" s="16" t="s">
        <v>59</v>
      </c>
      <c r="F571" s="47">
        <v>1366.9</v>
      </c>
      <c r="G571" s="47">
        <v>1366.9</v>
      </c>
      <c r="H571" s="47">
        <v>1366.9</v>
      </c>
      <c r="I571" s="4"/>
    </row>
    <row r="572" spans="1:9" s="7" customFormat="1" ht="94.5" x14ac:dyDescent="0.25">
      <c r="A572" s="31" t="s">
        <v>506</v>
      </c>
      <c r="B572" s="32" t="s">
        <v>507</v>
      </c>
      <c r="C572" s="32" t="s">
        <v>1</v>
      </c>
      <c r="D572" s="33" t="s">
        <v>2</v>
      </c>
      <c r="E572" s="33" t="s">
        <v>2</v>
      </c>
      <c r="F572" s="48">
        <f>F573+F587</f>
        <v>5766.6</v>
      </c>
      <c r="G572" s="48">
        <f t="shared" ref="G572:H572" si="281">G573+G587</f>
        <v>5766.6</v>
      </c>
      <c r="H572" s="48">
        <f t="shared" si="281"/>
        <v>5766.6</v>
      </c>
      <c r="I572" s="8"/>
    </row>
    <row r="573" spans="1:9" ht="47.25" outlineLevel="2" x14ac:dyDescent="0.25">
      <c r="A573" s="10" t="s">
        <v>508</v>
      </c>
      <c r="B573" s="6" t="s">
        <v>509</v>
      </c>
      <c r="C573" s="6" t="s">
        <v>1</v>
      </c>
      <c r="D573" s="16" t="s">
        <v>2</v>
      </c>
      <c r="E573" s="16" t="s">
        <v>2</v>
      </c>
      <c r="F573" s="47">
        <f>F574+F577+F580+F583+F585</f>
        <v>607</v>
      </c>
      <c r="G573" s="47">
        <f t="shared" ref="G573:H573" si="282">G574+G577+G580+G583+G585</f>
        <v>607</v>
      </c>
      <c r="H573" s="47">
        <f t="shared" si="282"/>
        <v>607</v>
      </c>
      <c r="I573" s="4"/>
    </row>
    <row r="574" spans="1:9" ht="31.5" outlineLevel="3" x14ac:dyDescent="0.25">
      <c r="A574" s="10" t="s">
        <v>510</v>
      </c>
      <c r="B574" s="6" t="s">
        <v>511</v>
      </c>
      <c r="C574" s="6" t="s">
        <v>1</v>
      </c>
      <c r="D574" s="16" t="s">
        <v>2</v>
      </c>
      <c r="E574" s="16" t="s">
        <v>2</v>
      </c>
      <c r="F574" s="47">
        <f>F575+F576</f>
        <v>177.3</v>
      </c>
      <c r="G574" s="47">
        <f t="shared" ref="G574:H574" si="283">G575+G576</f>
        <v>177.3</v>
      </c>
      <c r="H574" s="47">
        <f t="shared" si="283"/>
        <v>177.3</v>
      </c>
      <c r="I574" s="4"/>
    </row>
    <row r="575" spans="1:9" ht="47.25" outlineLevel="4" x14ac:dyDescent="0.25">
      <c r="A575" s="10" t="s">
        <v>15</v>
      </c>
      <c r="B575" s="6" t="s">
        <v>511</v>
      </c>
      <c r="C575" s="6" t="s">
        <v>16</v>
      </c>
      <c r="D575" s="16" t="s">
        <v>68</v>
      </c>
      <c r="E575" s="16" t="s">
        <v>29</v>
      </c>
      <c r="F575" s="47">
        <v>1.8</v>
      </c>
      <c r="G575" s="47">
        <v>1.8</v>
      </c>
      <c r="H575" s="47">
        <v>1.8</v>
      </c>
      <c r="I575" s="4"/>
    </row>
    <row r="576" spans="1:9" ht="31.5" outlineLevel="4" x14ac:dyDescent="0.25">
      <c r="A576" s="10" t="s">
        <v>66</v>
      </c>
      <c r="B576" s="6" t="s">
        <v>511</v>
      </c>
      <c r="C576" s="6" t="s">
        <v>67</v>
      </c>
      <c r="D576" s="16" t="s">
        <v>68</v>
      </c>
      <c r="E576" s="16" t="s">
        <v>29</v>
      </c>
      <c r="F576" s="47">
        <v>175.5</v>
      </c>
      <c r="G576" s="47">
        <v>175.5</v>
      </c>
      <c r="H576" s="47">
        <v>175.5</v>
      </c>
      <c r="I576" s="4"/>
    </row>
    <row r="577" spans="1:9" ht="31.5" outlineLevel="3" x14ac:dyDescent="0.25">
      <c r="A577" s="10" t="s">
        <v>512</v>
      </c>
      <c r="B577" s="6" t="s">
        <v>513</v>
      </c>
      <c r="C577" s="6" t="s">
        <v>1</v>
      </c>
      <c r="D577" s="16" t="s">
        <v>2</v>
      </c>
      <c r="E577" s="16" t="s">
        <v>2</v>
      </c>
      <c r="F577" s="47">
        <f>F578+F579</f>
        <v>157.6</v>
      </c>
      <c r="G577" s="47">
        <f t="shared" ref="G577:H577" si="284">G578+G579</f>
        <v>212.1</v>
      </c>
      <c r="H577" s="47">
        <f t="shared" si="284"/>
        <v>212.1</v>
      </c>
      <c r="I577" s="4"/>
    </row>
    <row r="578" spans="1:9" ht="47.25" outlineLevel="4" x14ac:dyDescent="0.25">
      <c r="A578" s="10" t="s">
        <v>15</v>
      </c>
      <c r="B578" s="6" t="s">
        <v>513</v>
      </c>
      <c r="C578" s="6" t="s">
        <v>16</v>
      </c>
      <c r="D578" s="16" t="s">
        <v>68</v>
      </c>
      <c r="E578" s="16" t="s">
        <v>29</v>
      </c>
      <c r="F578" s="47">
        <f>2.1-0.5</f>
        <v>1.6</v>
      </c>
      <c r="G578" s="47">
        <v>2.1</v>
      </c>
      <c r="H578" s="47">
        <v>2.1</v>
      </c>
      <c r="I578" s="4"/>
    </row>
    <row r="579" spans="1:9" ht="31.5" outlineLevel="4" x14ac:dyDescent="0.25">
      <c r="A579" s="10" t="s">
        <v>66</v>
      </c>
      <c r="B579" s="6" t="s">
        <v>513</v>
      </c>
      <c r="C579" s="6" t="s">
        <v>67</v>
      </c>
      <c r="D579" s="16" t="s">
        <v>68</v>
      </c>
      <c r="E579" s="16" t="s">
        <v>29</v>
      </c>
      <c r="F579" s="47">
        <f>210-54</f>
        <v>156</v>
      </c>
      <c r="G579" s="47">
        <v>210</v>
      </c>
      <c r="H579" s="47">
        <v>210</v>
      </c>
      <c r="I579" s="4"/>
    </row>
    <row r="580" spans="1:9" ht="31.5" outlineLevel="3" x14ac:dyDescent="0.25">
      <c r="A580" s="10" t="s">
        <v>514</v>
      </c>
      <c r="B580" s="6" t="s">
        <v>515</v>
      </c>
      <c r="C580" s="6" t="s">
        <v>1</v>
      </c>
      <c r="D580" s="16" t="s">
        <v>2</v>
      </c>
      <c r="E580" s="16" t="s">
        <v>2</v>
      </c>
      <c r="F580" s="47">
        <f>F581+F582</f>
        <v>212.1</v>
      </c>
      <c r="G580" s="47">
        <f t="shared" ref="G580:H580" si="285">G581+G582</f>
        <v>157.6</v>
      </c>
      <c r="H580" s="47">
        <f t="shared" si="285"/>
        <v>157.6</v>
      </c>
      <c r="I580" s="4"/>
    </row>
    <row r="581" spans="1:9" ht="47.25" outlineLevel="4" x14ac:dyDescent="0.25">
      <c r="A581" s="10" t="s">
        <v>15</v>
      </c>
      <c r="B581" s="6" t="s">
        <v>515</v>
      </c>
      <c r="C581" s="6" t="s">
        <v>16</v>
      </c>
      <c r="D581" s="16" t="s">
        <v>68</v>
      </c>
      <c r="E581" s="16" t="s">
        <v>29</v>
      </c>
      <c r="F581" s="47">
        <f>1.6+0.5</f>
        <v>2.1</v>
      </c>
      <c r="G581" s="47">
        <v>1.6</v>
      </c>
      <c r="H581" s="47">
        <v>1.6</v>
      </c>
      <c r="I581" s="4"/>
    </row>
    <row r="582" spans="1:9" ht="31.5" outlineLevel="4" x14ac:dyDescent="0.25">
      <c r="A582" s="10" t="s">
        <v>66</v>
      </c>
      <c r="B582" s="6" t="s">
        <v>515</v>
      </c>
      <c r="C582" s="6" t="s">
        <v>67</v>
      </c>
      <c r="D582" s="16" t="s">
        <v>68</v>
      </c>
      <c r="E582" s="16" t="s">
        <v>29</v>
      </c>
      <c r="F582" s="47">
        <f>156+54</f>
        <v>210</v>
      </c>
      <c r="G582" s="47">
        <v>156</v>
      </c>
      <c r="H582" s="47">
        <v>156</v>
      </c>
      <c r="I582" s="4"/>
    </row>
    <row r="583" spans="1:9" ht="31.5" outlineLevel="3" x14ac:dyDescent="0.25">
      <c r="A583" s="10" t="s">
        <v>516</v>
      </c>
      <c r="B583" s="6" t="s">
        <v>517</v>
      </c>
      <c r="C583" s="6" t="s">
        <v>1</v>
      </c>
      <c r="D583" s="16" t="s">
        <v>2</v>
      </c>
      <c r="E583" s="16" t="s">
        <v>2</v>
      </c>
      <c r="F583" s="47">
        <f>F584</f>
        <v>56</v>
      </c>
      <c r="G583" s="47">
        <f t="shared" ref="G583:H583" si="286">G584</f>
        <v>56</v>
      </c>
      <c r="H583" s="47">
        <f t="shared" si="286"/>
        <v>56</v>
      </c>
      <c r="I583" s="4"/>
    </row>
    <row r="584" spans="1:9" ht="31.5" outlineLevel="4" x14ac:dyDescent="0.25">
      <c r="A584" s="10" t="s">
        <v>66</v>
      </c>
      <c r="B584" s="6" t="s">
        <v>517</v>
      </c>
      <c r="C584" s="6" t="s">
        <v>67</v>
      </c>
      <c r="D584" s="16" t="s">
        <v>68</v>
      </c>
      <c r="E584" s="16" t="s">
        <v>29</v>
      </c>
      <c r="F584" s="47">
        <v>56</v>
      </c>
      <c r="G584" s="47">
        <v>56</v>
      </c>
      <c r="H584" s="47">
        <v>56</v>
      </c>
      <c r="I584" s="4"/>
    </row>
    <row r="585" spans="1:9" ht="31.5" outlineLevel="3" x14ac:dyDescent="0.25">
      <c r="A585" s="10" t="s">
        <v>518</v>
      </c>
      <c r="B585" s="6" t="s">
        <v>519</v>
      </c>
      <c r="C585" s="6" t="s">
        <v>1</v>
      </c>
      <c r="D585" s="16" t="s">
        <v>2</v>
      </c>
      <c r="E585" s="16" t="s">
        <v>2</v>
      </c>
      <c r="F585" s="47">
        <f>F586</f>
        <v>4</v>
      </c>
      <c r="G585" s="47">
        <f t="shared" ref="G585:H585" si="287">G586</f>
        <v>4</v>
      </c>
      <c r="H585" s="47">
        <f t="shared" si="287"/>
        <v>4</v>
      </c>
      <c r="I585" s="4"/>
    </row>
    <row r="586" spans="1:9" ht="31.5" outlineLevel="4" x14ac:dyDescent="0.25">
      <c r="A586" s="10" t="s">
        <v>66</v>
      </c>
      <c r="B586" s="6" t="s">
        <v>519</v>
      </c>
      <c r="C586" s="6" t="s">
        <v>67</v>
      </c>
      <c r="D586" s="16" t="s">
        <v>68</v>
      </c>
      <c r="E586" s="16" t="s">
        <v>29</v>
      </c>
      <c r="F586" s="47">
        <v>4</v>
      </c>
      <c r="G586" s="47">
        <v>4</v>
      </c>
      <c r="H586" s="47">
        <v>4</v>
      </c>
      <c r="I586" s="4"/>
    </row>
    <row r="587" spans="1:9" ht="47.25" outlineLevel="2" x14ac:dyDescent="0.25">
      <c r="A587" s="10" t="s">
        <v>6</v>
      </c>
      <c r="B587" s="6" t="s">
        <v>520</v>
      </c>
      <c r="C587" s="6" t="s">
        <v>1</v>
      </c>
      <c r="D587" s="16" t="s">
        <v>2</v>
      </c>
      <c r="E587" s="16" t="s">
        <v>2</v>
      </c>
      <c r="F587" s="47">
        <f>F588</f>
        <v>5159.6000000000004</v>
      </c>
      <c r="G587" s="47">
        <f t="shared" ref="G587:H587" si="288">G588</f>
        <v>5159.6000000000004</v>
      </c>
      <c r="H587" s="47">
        <f t="shared" si="288"/>
        <v>5159.6000000000004</v>
      </c>
      <c r="I587" s="4"/>
    </row>
    <row r="588" spans="1:9" ht="47.25" outlineLevel="3" x14ac:dyDescent="0.25">
      <c r="A588" s="10" t="s">
        <v>485</v>
      </c>
      <c r="B588" s="6" t="s">
        <v>521</v>
      </c>
      <c r="C588" s="6" t="s">
        <v>1</v>
      </c>
      <c r="D588" s="16" t="s">
        <v>2</v>
      </c>
      <c r="E588" s="16" t="s">
        <v>2</v>
      </c>
      <c r="F588" s="47">
        <f>F589+F590</f>
        <v>5159.6000000000004</v>
      </c>
      <c r="G588" s="47">
        <f t="shared" ref="G588:H588" si="289">G589+G590</f>
        <v>5159.6000000000004</v>
      </c>
      <c r="H588" s="47">
        <f t="shared" si="289"/>
        <v>5159.6000000000004</v>
      </c>
      <c r="I588" s="4"/>
    </row>
    <row r="589" spans="1:9" ht="110.25" outlineLevel="4" x14ac:dyDescent="0.25">
      <c r="A589" s="10" t="s">
        <v>10</v>
      </c>
      <c r="B589" s="6" t="s">
        <v>521</v>
      </c>
      <c r="C589" s="6" t="s">
        <v>11</v>
      </c>
      <c r="D589" s="16" t="s">
        <v>12</v>
      </c>
      <c r="E589" s="16" t="s">
        <v>13</v>
      </c>
      <c r="F589" s="47">
        <v>3606.1</v>
      </c>
      <c r="G589" s="47">
        <v>3606.1</v>
      </c>
      <c r="H589" s="47">
        <v>3606.1</v>
      </c>
      <c r="I589" s="4"/>
    </row>
    <row r="590" spans="1:9" ht="47.25" outlineLevel="4" x14ac:dyDescent="0.25">
      <c r="A590" s="10" t="s">
        <v>15</v>
      </c>
      <c r="B590" s="6" t="s">
        <v>521</v>
      </c>
      <c r="C590" s="6" t="s">
        <v>16</v>
      </c>
      <c r="D590" s="16" t="s">
        <v>12</v>
      </c>
      <c r="E590" s="16" t="s">
        <v>13</v>
      </c>
      <c r="F590" s="47">
        <v>1553.5</v>
      </c>
      <c r="G590" s="47">
        <v>1553.5</v>
      </c>
      <c r="H590" s="47">
        <v>1553.5</v>
      </c>
      <c r="I590" s="4"/>
    </row>
    <row r="591" spans="1:9" s="7" customFormat="1" ht="47.25" x14ac:dyDescent="0.25">
      <c r="A591" s="31" t="s">
        <v>522</v>
      </c>
      <c r="B591" s="32" t="s">
        <v>523</v>
      </c>
      <c r="C591" s="32" t="s">
        <v>1</v>
      </c>
      <c r="D591" s="33" t="s">
        <v>2</v>
      </c>
      <c r="E591" s="33" t="s">
        <v>2</v>
      </c>
      <c r="F591" s="48">
        <f>F592+F595</f>
        <v>5672.7</v>
      </c>
      <c r="G591" s="48">
        <f t="shared" ref="G591:H591" si="290">G592+G595</f>
        <v>5672.7</v>
      </c>
      <c r="H591" s="48">
        <f t="shared" si="290"/>
        <v>5672.7</v>
      </c>
      <c r="I591" s="8"/>
    </row>
    <row r="592" spans="1:9" ht="47.25" outlineLevel="2" x14ac:dyDescent="0.25">
      <c r="A592" s="10" t="s">
        <v>524</v>
      </c>
      <c r="B592" s="6" t="s">
        <v>525</v>
      </c>
      <c r="C592" s="6" t="s">
        <v>1</v>
      </c>
      <c r="D592" s="16" t="s">
        <v>2</v>
      </c>
      <c r="E592" s="16" t="s">
        <v>2</v>
      </c>
      <c r="F592" s="47">
        <f>F593</f>
        <v>35</v>
      </c>
      <c r="G592" s="47">
        <f t="shared" ref="G592:H592" si="291">G593</f>
        <v>30</v>
      </c>
      <c r="H592" s="47">
        <f t="shared" si="291"/>
        <v>30</v>
      </c>
      <c r="I592" s="4"/>
    </row>
    <row r="593" spans="1:9" ht="47.25" outlineLevel="3" x14ac:dyDescent="0.25">
      <c r="A593" s="10" t="s">
        <v>526</v>
      </c>
      <c r="B593" s="6" t="s">
        <v>527</v>
      </c>
      <c r="C593" s="6" t="s">
        <v>1</v>
      </c>
      <c r="D593" s="16" t="s">
        <v>2</v>
      </c>
      <c r="E593" s="16" t="s">
        <v>2</v>
      </c>
      <c r="F593" s="47">
        <f>F594</f>
        <v>35</v>
      </c>
      <c r="G593" s="47">
        <f t="shared" ref="G593:H593" si="292">G594</f>
        <v>30</v>
      </c>
      <c r="H593" s="47">
        <f t="shared" si="292"/>
        <v>30</v>
      </c>
      <c r="I593" s="4"/>
    </row>
    <row r="594" spans="1:9" ht="47.25" outlineLevel="4" x14ac:dyDescent="0.25">
      <c r="A594" s="10" t="s">
        <v>15</v>
      </c>
      <c r="B594" s="6" t="s">
        <v>527</v>
      </c>
      <c r="C594" s="6" t="s">
        <v>16</v>
      </c>
      <c r="D594" s="16" t="s">
        <v>12</v>
      </c>
      <c r="E594" s="16" t="s">
        <v>44</v>
      </c>
      <c r="F594" s="47">
        <f>30+5</f>
        <v>35</v>
      </c>
      <c r="G594" s="47">
        <v>30</v>
      </c>
      <c r="H594" s="47">
        <v>30</v>
      </c>
      <c r="I594" s="4"/>
    </row>
    <row r="595" spans="1:9" ht="31.5" outlineLevel="2" x14ac:dyDescent="0.25">
      <c r="A595" s="10" t="s">
        <v>528</v>
      </c>
      <c r="B595" s="6" t="s">
        <v>529</v>
      </c>
      <c r="C595" s="6" t="s">
        <v>1</v>
      </c>
      <c r="D595" s="16" t="s">
        <v>2</v>
      </c>
      <c r="E595" s="16" t="s">
        <v>2</v>
      </c>
      <c r="F595" s="47">
        <f>F596+F598</f>
        <v>5637.7</v>
      </c>
      <c r="G595" s="47">
        <f t="shared" ref="G595:H595" si="293">G596+G598</f>
        <v>5642.7</v>
      </c>
      <c r="H595" s="47">
        <f t="shared" si="293"/>
        <v>5642.7</v>
      </c>
      <c r="I595" s="4"/>
    </row>
    <row r="596" spans="1:9" ht="47.25" outlineLevel="3" x14ac:dyDescent="0.25">
      <c r="A596" s="10" t="s">
        <v>530</v>
      </c>
      <c r="B596" s="6" t="s">
        <v>531</v>
      </c>
      <c r="C596" s="6" t="s">
        <v>1</v>
      </c>
      <c r="D596" s="16" t="s">
        <v>2</v>
      </c>
      <c r="E596" s="16" t="s">
        <v>2</v>
      </c>
      <c r="F596" s="47">
        <f>F597</f>
        <v>17</v>
      </c>
      <c r="G596" s="47">
        <f t="shared" ref="G596:H596" si="294">G597</f>
        <v>22</v>
      </c>
      <c r="H596" s="47">
        <f t="shared" si="294"/>
        <v>22</v>
      </c>
      <c r="I596" s="4"/>
    </row>
    <row r="597" spans="1:9" ht="31.5" outlineLevel="4" x14ac:dyDescent="0.25">
      <c r="A597" s="10" t="s">
        <v>66</v>
      </c>
      <c r="B597" s="6" t="s">
        <v>531</v>
      </c>
      <c r="C597" s="6" t="s">
        <v>67</v>
      </c>
      <c r="D597" s="16" t="s">
        <v>12</v>
      </c>
      <c r="E597" s="16" t="s">
        <v>44</v>
      </c>
      <c r="F597" s="47">
        <f>22-5</f>
        <v>17</v>
      </c>
      <c r="G597" s="47">
        <v>22</v>
      </c>
      <c r="H597" s="47">
        <v>22</v>
      </c>
      <c r="I597" s="4"/>
    </row>
    <row r="598" spans="1:9" ht="47.25" outlineLevel="3" x14ac:dyDescent="0.25">
      <c r="A598" s="10" t="s">
        <v>532</v>
      </c>
      <c r="B598" s="6" t="s">
        <v>533</v>
      </c>
      <c r="C598" s="6" t="s">
        <v>1</v>
      </c>
      <c r="D598" s="16" t="s">
        <v>2</v>
      </c>
      <c r="E598" s="16" t="s">
        <v>2</v>
      </c>
      <c r="F598" s="47">
        <f>F599+F600</f>
        <v>5620.7</v>
      </c>
      <c r="G598" s="47">
        <f t="shared" ref="G598:H598" si="295">G599+G600</f>
        <v>5620.7</v>
      </c>
      <c r="H598" s="47">
        <f t="shared" si="295"/>
        <v>5620.7</v>
      </c>
      <c r="I598" s="4"/>
    </row>
    <row r="599" spans="1:9" ht="47.25" outlineLevel="4" x14ac:dyDescent="0.25">
      <c r="A599" s="10" t="s">
        <v>15</v>
      </c>
      <c r="B599" s="6" t="s">
        <v>533</v>
      </c>
      <c r="C599" s="6" t="s">
        <v>16</v>
      </c>
      <c r="D599" s="16" t="s">
        <v>68</v>
      </c>
      <c r="E599" s="16" t="s">
        <v>12</v>
      </c>
      <c r="F599" s="47">
        <v>50</v>
      </c>
      <c r="G599" s="47">
        <v>50</v>
      </c>
      <c r="H599" s="47">
        <v>50</v>
      </c>
      <c r="I599" s="4"/>
    </row>
    <row r="600" spans="1:9" ht="31.5" outlineLevel="4" x14ac:dyDescent="0.25">
      <c r="A600" s="10" t="s">
        <v>66</v>
      </c>
      <c r="B600" s="6" t="s">
        <v>533</v>
      </c>
      <c r="C600" s="6" t="s">
        <v>67</v>
      </c>
      <c r="D600" s="16" t="s">
        <v>68</v>
      </c>
      <c r="E600" s="16" t="s">
        <v>12</v>
      </c>
      <c r="F600" s="47">
        <v>5570.7</v>
      </c>
      <c r="G600" s="47">
        <v>5570.7</v>
      </c>
      <c r="H600" s="47">
        <v>5570.7</v>
      </c>
      <c r="I600" s="4"/>
    </row>
    <row r="601" spans="1:9" s="7" customFormat="1" ht="94.5" x14ac:dyDescent="0.25">
      <c r="A601" s="31" t="s">
        <v>534</v>
      </c>
      <c r="B601" s="32" t="s">
        <v>535</v>
      </c>
      <c r="C601" s="32" t="s">
        <v>1</v>
      </c>
      <c r="D601" s="33" t="s">
        <v>2</v>
      </c>
      <c r="E601" s="33" t="s">
        <v>2</v>
      </c>
      <c r="F601" s="48">
        <f>F602+F614</f>
        <v>14699.800000000001</v>
      </c>
      <c r="G601" s="48">
        <f t="shared" ref="G601:H601" si="296">G602+G614</f>
        <v>14699.800000000001</v>
      </c>
      <c r="H601" s="48">
        <f t="shared" si="296"/>
        <v>14699.800000000001</v>
      </c>
      <c r="I601" s="8"/>
    </row>
    <row r="602" spans="1:9" s="13" customFormat="1" ht="110.25" outlineLevel="1" x14ac:dyDescent="0.25">
      <c r="A602" s="28" t="s">
        <v>592</v>
      </c>
      <c r="B602" s="29" t="s">
        <v>536</v>
      </c>
      <c r="C602" s="29" t="s">
        <v>1</v>
      </c>
      <c r="D602" s="30" t="s">
        <v>2</v>
      </c>
      <c r="E602" s="30" t="s">
        <v>2</v>
      </c>
      <c r="F602" s="46">
        <f>F603+F608+F611</f>
        <v>13784.7</v>
      </c>
      <c r="G602" s="46">
        <f t="shared" ref="G602:H602" si="297">G603+G608+G611</f>
        <v>13884.7</v>
      </c>
      <c r="H602" s="46">
        <f t="shared" si="297"/>
        <v>13884.7</v>
      </c>
      <c r="I602" s="12"/>
    </row>
    <row r="603" spans="1:9" ht="94.5" outlineLevel="2" x14ac:dyDescent="0.25">
      <c r="A603" s="10" t="s">
        <v>537</v>
      </c>
      <c r="B603" s="6" t="s">
        <v>538</v>
      </c>
      <c r="C603" s="6" t="s">
        <v>1</v>
      </c>
      <c r="D603" s="16" t="s">
        <v>2</v>
      </c>
      <c r="E603" s="16" t="s">
        <v>2</v>
      </c>
      <c r="F603" s="47">
        <f>F604</f>
        <v>13539.6</v>
      </c>
      <c r="G603" s="47">
        <f t="shared" ref="G603:H603" si="298">G604</f>
        <v>13639.6</v>
      </c>
      <c r="H603" s="47">
        <f t="shared" si="298"/>
        <v>13639.6</v>
      </c>
      <c r="I603" s="4"/>
    </row>
    <row r="604" spans="1:9" ht="94.5" outlineLevel="3" x14ac:dyDescent="0.25">
      <c r="A604" s="10" t="s">
        <v>539</v>
      </c>
      <c r="B604" s="6" t="s">
        <v>540</v>
      </c>
      <c r="C604" s="6" t="s">
        <v>1</v>
      </c>
      <c r="D604" s="16" t="s">
        <v>2</v>
      </c>
      <c r="E604" s="16" t="s">
        <v>2</v>
      </c>
      <c r="F604" s="47">
        <f>F605+F606+F607</f>
        <v>13539.6</v>
      </c>
      <c r="G604" s="47">
        <f t="shared" ref="G604:H604" si="299">G605+G606+G607</f>
        <v>13639.6</v>
      </c>
      <c r="H604" s="47">
        <f t="shared" si="299"/>
        <v>13639.6</v>
      </c>
      <c r="I604" s="4"/>
    </row>
    <row r="605" spans="1:9" ht="110.25" outlineLevel="4" x14ac:dyDescent="0.25">
      <c r="A605" s="10" t="s">
        <v>10</v>
      </c>
      <c r="B605" s="6" t="s">
        <v>540</v>
      </c>
      <c r="C605" s="6" t="s">
        <v>11</v>
      </c>
      <c r="D605" s="16" t="s">
        <v>29</v>
      </c>
      <c r="E605" s="16" t="s">
        <v>68</v>
      </c>
      <c r="F605" s="47">
        <v>11143.5</v>
      </c>
      <c r="G605" s="47">
        <v>11143.5</v>
      </c>
      <c r="H605" s="47">
        <v>11143.5</v>
      </c>
      <c r="I605" s="4"/>
    </row>
    <row r="606" spans="1:9" ht="47.25" outlineLevel="4" x14ac:dyDescent="0.25">
      <c r="A606" s="10" t="s">
        <v>15</v>
      </c>
      <c r="B606" s="6" t="s">
        <v>540</v>
      </c>
      <c r="C606" s="6" t="s">
        <v>16</v>
      </c>
      <c r="D606" s="16" t="s">
        <v>29</v>
      </c>
      <c r="E606" s="16" t="s">
        <v>68</v>
      </c>
      <c r="F606" s="47">
        <f>2476.9-100</f>
        <v>2376.9</v>
      </c>
      <c r="G606" s="47">
        <v>2476.9</v>
      </c>
      <c r="H606" s="47">
        <v>2476.9</v>
      </c>
      <c r="I606" s="4"/>
    </row>
    <row r="607" spans="1:9" outlineLevel="4" x14ac:dyDescent="0.25">
      <c r="A607" s="10" t="s">
        <v>19</v>
      </c>
      <c r="B607" s="6" t="s">
        <v>540</v>
      </c>
      <c r="C607" s="6" t="s">
        <v>20</v>
      </c>
      <c r="D607" s="16" t="s">
        <v>29</v>
      </c>
      <c r="E607" s="16" t="s">
        <v>68</v>
      </c>
      <c r="F607" s="47">
        <v>19.2</v>
      </c>
      <c r="G607" s="47">
        <v>19.2</v>
      </c>
      <c r="H607" s="47">
        <v>19.2</v>
      </c>
      <c r="I607" s="4"/>
    </row>
    <row r="608" spans="1:9" ht="63" outlineLevel="2" x14ac:dyDescent="0.25">
      <c r="A608" s="10" t="s">
        <v>541</v>
      </c>
      <c r="B608" s="6" t="s">
        <v>542</v>
      </c>
      <c r="C608" s="6" t="s">
        <v>1</v>
      </c>
      <c r="D608" s="16" t="s">
        <v>2</v>
      </c>
      <c r="E608" s="16" t="s">
        <v>2</v>
      </c>
      <c r="F608" s="47">
        <f>F609</f>
        <v>210.1</v>
      </c>
      <c r="G608" s="47">
        <f t="shared" ref="G608:H609" si="300">G609</f>
        <v>210.1</v>
      </c>
      <c r="H608" s="47">
        <f t="shared" si="300"/>
        <v>210.1</v>
      </c>
      <c r="I608" s="4"/>
    </row>
    <row r="609" spans="1:9" ht="47.25" outlineLevel="3" x14ac:dyDescent="0.25">
      <c r="A609" s="10" t="s">
        <v>543</v>
      </c>
      <c r="B609" s="6" t="s">
        <v>544</v>
      </c>
      <c r="C609" s="6" t="s">
        <v>1</v>
      </c>
      <c r="D609" s="16" t="s">
        <v>2</v>
      </c>
      <c r="E609" s="16" t="s">
        <v>2</v>
      </c>
      <c r="F609" s="47">
        <f>F610</f>
        <v>210.1</v>
      </c>
      <c r="G609" s="47">
        <f t="shared" si="300"/>
        <v>210.1</v>
      </c>
      <c r="H609" s="47">
        <f t="shared" si="300"/>
        <v>210.1</v>
      </c>
      <c r="I609" s="4"/>
    </row>
    <row r="610" spans="1:9" ht="47.25" outlineLevel="4" x14ac:dyDescent="0.25">
      <c r="A610" s="10" t="s">
        <v>15</v>
      </c>
      <c r="B610" s="6" t="s">
        <v>544</v>
      </c>
      <c r="C610" s="6" t="s">
        <v>16</v>
      </c>
      <c r="D610" s="16" t="s">
        <v>29</v>
      </c>
      <c r="E610" s="16" t="s">
        <v>68</v>
      </c>
      <c r="F610" s="47">
        <v>210.1</v>
      </c>
      <c r="G610" s="47">
        <v>210.1</v>
      </c>
      <c r="H610" s="47">
        <v>210.1</v>
      </c>
      <c r="I610" s="4"/>
    </row>
    <row r="611" spans="1:9" ht="47.25" outlineLevel="2" x14ac:dyDescent="0.25">
      <c r="A611" s="10" t="s">
        <v>545</v>
      </c>
      <c r="B611" s="6" t="s">
        <v>546</v>
      </c>
      <c r="C611" s="6" t="s">
        <v>1</v>
      </c>
      <c r="D611" s="16" t="s">
        <v>2</v>
      </c>
      <c r="E611" s="16" t="s">
        <v>2</v>
      </c>
      <c r="F611" s="47">
        <f>F612</f>
        <v>35</v>
      </c>
      <c r="G611" s="47">
        <f t="shared" ref="G611:H612" si="301">G612</f>
        <v>35</v>
      </c>
      <c r="H611" s="47">
        <f t="shared" si="301"/>
        <v>35</v>
      </c>
      <c r="I611" s="4"/>
    </row>
    <row r="612" spans="1:9" ht="110.25" outlineLevel="3" x14ac:dyDescent="0.25">
      <c r="A612" s="10" t="s">
        <v>547</v>
      </c>
      <c r="B612" s="6" t="s">
        <v>548</v>
      </c>
      <c r="C612" s="6" t="s">
        <v>1</v>
      </c>
      <c r="D612" s="16" t="s">
        <v>2</v>
      </c>
      <c r="E612" s="16" t="s">
        <v>2</v>
      </c>
      <c r="F612" s="47">
        <f>F613</f>
        <v>35</v>
      </c>
      <c r="G612" s="47">
        <f t="shared" si="301"/>
        <v>35</v>
      </c>
      <c r="H612" s="47">
        <f t="shared" si="301"/>
        <v>35</v>
      </c>
      <c r="I612" s="4"/>
    </row>
    <row r="613" spans="1:9" ht="47.25" outlineLevel="4" x14ac:dyDescent="0.25">
      <c r="A613" s="10" t="s">
        <v>15</v>
      </c>
      <c r="B613" s="6" t="s">
        <v>548</v>
      </c>
      <c r="C613" s="6" t="s">
        <v>16</v>
      </c>
      <c r="D613" s="16" t="s">
        <v>29</v>
      </c>
      <c r="E613" s="16" t="s">
        <v>68</v>
      </c>
      <c r="F613" s="47">
        <v>35</v>
      </c>
      <c r="G613" s="47">
        <v>35</v>
      </c>
      <c r="H613" s="47">
        <v>35</v>
      </c>
      <c r="I613" s="4"/>
    </row>
    <row r="614" spans="1:9" s="13" customFormat="1" ht="78.75" outlineLevel="1" x14ac:dyDescent="0.25">
      <c r="A614" s="28" t="s">
        <v>593</v>
      </c>
      <c r="B614" s="29" t="s">
        <v>549</v>
      </c>
      <c r="C614" s="29" t="s">
        <v>1</v>
      </c>
      <c r="D614" s="30" t="s">
        <v>2</v>
      </c>
      <c r="E614" s="30" t="s">
        <v>2</v>
      </c>
      <c r="F614" s="46">
        <f>F615</f>
        <v>915.1</v>
      </c>
      <c r="G614" s="46">
        <f t="shared" ref="G614:H616" si="302">G615</f>
        <v>815.1</v>
      </c>
      <c r="H614" s="46">
        <f t="shared" si="302"/>
        <v>815.1</v>
      </c>
      <c r="I614" s="12"/>
    </row>
    <row r="615" spans="1:9" ht="47.25" outlineLevel="2" x14ac:dyDescent="0.25">
      <c r="A615" s="10" t="s">
        <v>550</v>
      </c>
      <c r="B615" s="6" t="s">
        <v>551</v>
      </c>
      <c r="C615" s="6" t="s">
        <v>1</v>
      </c>
      <c r="D615" s="16" t="s">
        <v>2</v>
      </c>
      <c r="E615" s="16" t="s">
        <v>2</v>
      </c>
      <c r="F615" s="47">
        <f>F616</f>
        <v>915.1</v>
      </c>
      <c r="G615" s="47">
        <f t="shared" si="302"/>
        <v>815.1</v>
      </c>
      <c r="H615" s="47">
        <f t="shared" si="302"/>
        <v>815.1</v>
      </c>
      <c r="I615" s="4"/>
    </row>
    <row r="616" spans="1:9" ht="31.5" outlineLevel="3" x14ac:dyDescent="0.25">
      <c r="A616" s="10" t="s">
        <v>552</v>
      </c>
      <c r="B616" s="6" t="s">
        <v>553</v>
      </c>
      <c r="C616" s="6" t="s">
        <v>1</v>
      </c>
      <c r="D616" s="16" t="s">
        <v>2</v>
      </c>
      <c r="E616" s="16" t="s">
        <v>2</v>
      </c>
      <c r="F616" s="47">
        <f>F617</f>
        <v>915.1</v>
      </c>
      <c r="G616" s="47">
        <f t="shared" si="302"/>
        <v>815.1</v>
      </c>
      <c r="H616" s="47">
        <f t="shared" si="302"/>
        <v>815.1</v>
      </c>
      <c r="I616" s="4"/>
    </row>
    <row r="617" spans="1:9" ht="47.25" outlineLevel="4" x14ac:dyDescent="0.25">
      <c r="A617" s="10" t="s">
        <v>15</v>
      </c>
      <c r="B617" s="6" t="s">
        <v>553</v>
      </c>
      <c r="C617" s="6" t="s">
        <v>16</v>
      </c>
      <c r="D617" s="16" t="s">
        <v>29</v>
      </c>
      <c r="E617" s="16" t="s">
        <v>68</v>
      </c>
      <c r="F617" s="47">
        <f>815.1+100</f>
        <v>915.1</v>
      </c>
      <c r="G617" s="47">
        <v>815.1</v>
      </c>
      <c r="H617" s="47">
        <v>815.1</v>
      </c>
      <c r="I617" s="4"/>
    </row>
    <row r="618" spans="1:9" s="7" customFormat="1" ht="47.25" x14ac:dyDescent="0.25">
      <c r="A618" s="31" t="s">
        <v>554</v>
      </c>
      <c r="B618" s="32" t="s">
        <v>555</v>
      </c>
      <c r="C618" s="32" t="s">
        <v>1</v>
      </c>
      <c r="D618" s="33" t="s">
        <v>2</v>
      </c>
      <c r="E618" s="33" t="s">
        <v>2</v>
      </c>
      <c r="F618" s="48">
        <f>F619+F629</f>
        <v>162224.63383000001</v>
      </c>
      <c r="G618" s="48">
        <f t="shared" ref="G618:H623" si="303">G619</f>
        <v>61412.526319999997</v>
      </c>
      <c r="H618" s="48">
        <f t="shared" si="303"/>
        <v>61412.526319999997</v>
      </c>
      <c r="I618" s="8"/>
    </row>
    <row r="619" spans="1:9" s="13" customFormat="1" ht="63" outlineLevel="1" x14ac:dyDescent="0.25">
      <c r="A619" s="28" t="s">
        <v>556</v>
      </c>
      <c r="B619" s="29" t="s">
        <v>557</v>
      </c>
      <c r="C619" s="29" t="s">
        <v>1</v>
      </c>
      <c r="D619" s="30" t="s">
        <v>2</v>
      </c>
      <c r="E619" s="30" t="s">
        <v>2</v>
      </c>
      <c r="F619" s="46">
        <f>F623+F620</f>
        <v>78013.633830000006</v>
      </c>
      <c r="G619" s="46">
        <f>G623+G620</f>
        <v>61412.526319999997</v>
      </c>
      <c r="H619" s="46">
        <f>H623+H620</f>
        <v>61412.526319999997</v>
      </c>
      <c r="I619" s="12"/>
    </row>
    <row r="620" spans="1:9" s="13" customFormat="1" ht="47.25" outlineLevel="1" x14ac:dyDescent="0.25">
      <c r="A620" s="37" t="s">
        <v>601</v>
      </c>
      <c r="B620" s="38">
        <v>1510100000</v>
      </c>
      <c r="C620" s="29" t="s">
        <v>1</v>
      </c>
      <c r="D620" s="30" t="s">
        <v>2</v>
      </c>
      <c r="E620" s="30" t="s">
        <v>2</v>
      </c>
      <c r="F620" s="47">
        <f>F621</f>
        <v>300.96541000000002</v>
      </c>
      <c r="G620" s="47">
        <f t="shared" ref="G620:H621" si="304">G621</f>
        <v>0</v>
      </c>
      <c r="H620" s="47">
        <f t="shared" si="304"/>
        <v>0</v>
      </c>
      <c r="I620" s="12"/>
    </row>
    <row r="621" spans="1:9" s="13" customFormat="1" ht="78.75" outlineLevel="1" x14ac:dyDescent="0.25">
      <c r="A621" s="37" t="s">
        <v>602</v>
      </c>
      <c r="B621" s="38" t="s">
        <v>603</v>
      </c>
      <c r="C621" s="29" t="s">
        <v>1</v>
      </c>
      <c r="D621" s="30" t="s">
        <v>2</v>
      </c>
      <c r="E621" s="30" t="s">
        <v>2</v>
      </c>
      <c r="F621" s="47">
        <f>F622</f>
        <v>300.96541000000002</v>
      </c>
      <c r="G621" s="47">
        <f t="shared" si="304"/>
        <v>0</v>
      </c>
      <c r="H621" s="47">
        <f t="shared" si="304"/>
        <v>0</v>
      </c>
      <c r="I621" s="12"/>
    </row>
    <row r="622" spans="1:9" s="13" customFormat="1" ht="47.25" outlineLevel="1" x14ac:dyDescent="0.25">
      <c r="A622" s="39" t="s">
        <v>15</v>
      </c>
      <c r="B622" s="38" t="s">
        <v>603</v>
      </c>
      <c r="C622" s="38" t="s">
        <v>16</v>
      </c>
      <c r="D622" s="38" t="s">
        <v>14</v>
      </c>
      <c r="E622" s="38" t="s">
        <v>29</v>
      </c>
      <c r="F622" s="47">
        <v>300.96541000000002</v>
      </c>
      <c r="G622" s="47">
        <v>0</v>
      </c>
      <c r="H622" s="47">
        <v>0</v>
      </c>
      <c r="I622" s="12"/>
    </row>
    <row r="623" spans="1:9" ht="63" outlineLevel="2" x14ac:dyDescent="0.25">
      <c r="A623" s="10" t="s">
        <v>558</v>
      </c>
      <c r="B623" s="6" t="s">
        <v>559</v>
      </c>
      <c r="C623" s="6" t="s">
        <v>1</v>
      </c>
      <c r="D623" s="16" t="s">
        <v>2</v>
      </c>
      <c r="E623" s="16" t="s">
        <v>2</v>
      </c>
      <c r="F623" s="47">
        <f>F624+F627</f>
        <v>77712.668420000002</v>
      </c>
      <c r="G623" s="47">
        <f t="shared" si="303"/>
        <v>61412.526319999997</v>
      </c>
      <c r="H623" s="47">
        <f t="shared" si="303"/>
        <v>61412.526319999997</v>
      </c>
      <c r="I623" s="4"/>
    </row>
    <row r="624" spans="1:9" ht="31.5" outlineLevel="3" x14ac:dyDescent="0.25">
      <c r="A624" s="10" t="s">
        <v>560</v>
      </c>
      <c r="B624" s="6" t="s">
        <v>561</v>
      </c>
      <c r="C624" s="6" t="s">
        <v>1</v>
      </c>
      <c r="D624" s="16" t="s">
        <v>2</v>
      </c>
      <c r="E624" s="16" t="s">
        <v>2</v>
      </c>
      <c r="F624" s="47">
        <f>F625+F626</f>
        <v>62303.368420000006</v>
      </c>
      <c r="G624" s="47">
        <f t="shared" ref="G624:H624" si="305">G625+G626</f>
        <v>61412.526319999997</v>
      </c>
      <c r="H624" s="47">
        <f t="shared" si="305"/>
        <v>61412.526319999997</v>
      </c>
      <c r="I624" s="4"/>
    </row>
    <row r="625" spans="1:9" ht="47.25" outlineLevel="4" x14ac:dyDescent="0.25">
      <c r="A625" s="10" t="s">
        <v>15</v>
      </c>
      <c r="B625" s="6" t="s">
        <v>561</v>
      </c>
      <c r="C625" s="6" t="s">
        <v>16</v>
      </c>
      <c r="D625" s="16" t="s">
        <v>14</v>
      </c>
      <c r="E625" s="16" t="s">
        <v>29</v>
      </c>
      <c r="F625" s="47">
        <f>5960-5960+5307.915-646.28975</f>
        <v>4661.6252500000001</v>
      </c>
      <c r="G625" s="47">
        <v>5960</v>
      </c>
      <c r="H625" s="47">
        <v>5960</v>
      </c>
      <c r="I625" s="4"/>
    </row>
    <row r="626" spans="1:9" ht="63" outlineLevel="4" x14ac:dyDescent="0.25">
      <c r="A626" s="10" t="s">
        <v>27</v>
      </c>
      <c r="B626" s="6" t="s">
        <v>561</v>
      </c>
      <c r="C626" s="6" t="s">
        <v>28</v>
      </c>
      <c r="D626" s="16" t="s">
        <v>14</v>
      </c>
      <c r="E626" s="16" t="s">
        <v>29</v>
      </c>
      <c r="F626" s="47">
        <f>52943.37+3230+652.085+169.99842+646.28975</f>
        <v>57641.743170000009</v>
      </c>
      <c r="G626" s="47">
        <f>55452.53-0.00368</f>
        <v>55452.526319999997</v>
      </c>
      <c r="H626" s="47">
        <f>55452.53-0.00368</f>
        <v>55452.526319999997</v>
      </c>
      <c r="I626" s="4"/>
    </row>
    <row r="627" spans="1:9" ht="31.5" outlineLevel="4" x14ac:dyDescent="0.25">
      <c r="A627" s="10" t="s">
        <v>560</v>
      </c>
      <c r="B627" s="6" t="s">
        <v>656</v>
      </c>
      <c r="C627" s="6" t="s">
        <v>1</v>
      </c>
      <c r="D627" s="16" t="s">
        <v>2</v>
      </c>
      <c r="E627" s="16" t="s">
        <v>2</v>
      </c>
      <c r="F627" s="47">
        <f>F628</f>
        <v>15409.3</v>
      </c>
      <c r="G627" s="47">
        <f t="shared" ref="G627:H627" si="306">G628</f>
        <v>0</v>
      </c>
      <c r="H627" s="47">
        <f t="shared" si="306"/>
        <v>0</v>
      </c>
      <c r="I627" s="4"/>
    </row>
    <row r="628" spans="1:9" ht="51.75" customHeight="1" outlineLevel="4" x14ac:dyDescent="0.25">
      <c r="A628" s="10" t="s">
        <v>27</v>
      </c>
      <c r="B628" s="6" t="s">
        <v>656</v>
      </c>
      <c r="C628" s="6">
        <v>600</v>
      </c>
      <c r="D628" s="16" t="s">
        <v>14</v>
      </c>
      <c r="E628" s="16" t="s">
        <v>29</v>
      </c>
      <c r="F628" s="47">
        <f>14638.8+770.5</f>
        <v>15409.3</v>
      </c>
      <c r="G628" s="47">
        <v>0</v>
      </c>
      <c r="H628" s="47">
        <v>0</v>
      </c>
      <c r="I628" s="4"/>
    </row>
    <row r="629" spans="1:9" ht="47.25" customHeight="1" outlineLevel="4" x14ac:dyDescent="0.25">
      <c r="A629" s="28" t="s">
        <v>682</v>
      </c>
      <c r="B629" s="29">
        <v>1530000000</v>
      </c>
      <c r="C629" s="29" t="s">
        <v>1</v>
      </c>
      <c r="D629" s="30" t="s">
        <v>2</v>
      </c>
      <c r="E629" s="30" t="s">
        <v>2</v>
      </c>
      <c r="F629" s="46">
        <f>F630</f>
        <v>84211</v>
      </c>
      <c r="G629" s="46">
        <f t="shared" ref="G629:H631" si="307">G630</f>
        <v>0</v>
      </c>
      <c r="H629" s="46">
        <f t="shared" si="307"/>
        <v>0</v>
      </c>
      <c r="I629" s="4"/>
    </row>
    <row r="630" spans="1:9" ht="51.75" customHeight="1" outlineLevel="4" x14ac:dyDescent="0.25">
      <c r="A630" s="10" t="s">
        <v>683</v>
      </c>
      <c r="B630" s="38" t="s">
        <v>685</v>
      </c>
      <c r="C630" s="6" t="s">
        <v>1</v>
      </c>
      <c r="D630" s="16" t="s">
        <v>2</v>
      </c>
      <c r="E630" s="16" t="s">
        <v>2</v>
      </c>
      <c r="F630" s="47">
        <f>F631+F633</f>
        <v>84211</v>
      </c>
      <c r="G630" s="47">
        <f t="shared" si="307"/>
        <v>0</v>
      </c>
      <c r="H630" s="47">
        <f t="shared" si="307"/>
        <v>0</v>
      </c>
      <c r="I630" s="4"/>
    </row>
    <row r="631" spans="1:9" ht="69" customHeight="1" outlineLevel="4" x14ac:dyDescent="0.25">
      <c r="A631" s="10" t="s">
        <v>684</v>
      </c>
      <c r="B631" s="38" t="s">
        <v>686</v>
      </c>
      <c r="C631" s="6" t="s">
        <v>1</v>
      </c>
      <c r="D631" s="16" t="s">
        <v>2</v>
      </c>
      <c r="E631" s="16" t="s">
        <v>2</v>
      </c>
      <c r="F631" s="47">
        <f>F632</f>
        <v>80000</v>
      </c>
      <c r="G631" s="47">
        <f t="shared" si="307"/>
        <v>0</v>
      </c>
      <c r="H631" s="47">
        <f t="shared" si="307"/>
        <v>0</v>
      </c>
      <c r="I631" s="4"/>
    </row>
    <row r="632" spans="1:9" ht="51.75" customHeight="1" outlineLevel="4" x14ac:dyDescent="0.25">
      <c r="A632" s="10" t="s">
        <v>615</v>
      </c>
      <c r="B632" s="38" t="s">
        <v>686</v>
      </c>
      <c r="C632" s="38" t="s">
        <v>28</v>
      </c>
      <c r="D632" s="38" t="s">
        <v>14</v>
      </c>
      <c r="E632" s="38" t="s">
        <v>29</v>
      </c>
      <c r="F632" s="47">
        <v>80000</v>
      </c>
      <c r="G632" s="47">
        <v>0</v>
      </c>
      <c r="H632" s="47">
        <v>0</v>
      </c>
      <c r="I632" s="4"/>
    </row>
    <row r="633" spans="1:9" ht="51.75" customHeight="1" outlineLevel="4" x14ac:dyDescent="0.25">
      <c r="A633" s="10" t="s">
        <v>684</v>
      </c>
      <c r="B633" s="38" t="s">
        <v>689</v>
      </c>
      <c r="C633" s="6" t="s">
        <v>1</v>
      </c>
      <c r="D633" s="16" t="s">
        <v>2</v>
      </c>
      <c r="E633" s="16" t="s">
        <v>2</v>
      </c>
      <c r="F633" s="47">
        <f>F634</f>
        <v>4211</v>
      </c>
      <c r="G633" s="47">
        <f t="shared" ref="G633:H633" si="308">G634</f>
        <v>0</v>
      </c>
      <c r="H633" s="47">
        <f t="shared" si="308"/>
        <v>0</v>
      </c>
      <c r="I633" s="4"/>
    </row>
    <row r="634" spans="1:9" ht="51.75" customHeight="1" outlineLevel="4" x14ac:dyDescent="0.25">
      <c r="A634" s="10" t="s">
        <v>615</v>
      </c>
      <c r="B634" s="38" t="s">
        <v>689</v>
      </c>
      <c r="C634" s="38" t="s">
        <v>28</v>
      </c>
      <c r="D634" s="38" t="s">
        <v>14</v>
      </c>
      <c r="E634" s="38" t="s">
        <v>29</v>
      </c>
      <c r="F634" s="47">
        <v>4211</v>
      </c>
      <c r="G634" s="47">
        <v>0</v>
      </c>
      <c r="H634" s="47">
        <v>0</v>
      </c>
      <c r="I634" s="4"/>
    </row>
    <row r="635" spans="1:9" s="7" customFormat="1" ht="94.5" x14ac:dyDescent="0.25">
      <c r="A635" s="31" t="s">
        <v>562</v>
      </c>
      <c r="B635" s="32" t="s">
        <v>563</v>
      </c>
      <c r="C635" s="32" t="s">
        <v>1</v>
      </c>
      <c r="D635" s="33" t="s">
        <v>2</v>
      </c>
      <c r="E635" s="33" t="s">
        <v>2</v>
      </c>
      <c r="F635" s="48">
        <f>F636</f>
        <v>50</v>
      </c>
      <c r="G635" s="48">
        <f t="shared" ref="G635:H636" si="309">G636</f>
        <v>50</v>
      </c>
      <c r="H635" s="48">
        <f t="shared" si="309"/>
        <v>50</v>
      </c>
      <c r="I635" s="8"/>
    </row>
    <row r="636" spans="1:9" ht="110.25" outlineLevel="2" x14ac:dyDescent="0.25">
      <c r="A636" s="10" t="s">
        <v>564</v>
      </c>
      <c r="B636" s="6" t="s">
        <v>565</v>
      </c>
      <c r="C636" s="6" t="s">
        <v>1</v>
      </c>
      <c r="D636" s="16" t="s">
        <v>2</v>
      </c>
      <c r="E636" s="16" t="s">
        <v>2</v>
      </c>
      <c r="F636" s="47">
        <f>F637</f>
        <v>50</v>
      </c>
      <c r="G636" s="47">
        <f t="shared" si="309"/>
        <v>50</v>
      </c>
      <c r="H636" s="47">
        <f t="shared" si="309"/>
        <v>50</v>
      </c>
      <c r="I636" s="4"/>
    </row>
    <row r="637" spans="1:9" ht="94.5" outlineLevel="3" x14ac:dyDescent="0.25">
      <c r="A637" s="10" t="s">
        <v>566</v>
      </c>
      <c r="B637" s="6" t="s">
        <v>567</v>
      </c>
      <c r="C637" s="6" t="s">
        <v>1</v>
      </c>
      <c r="D637" s="16" t="s">
        <v>2</v>
      </c>
      <c r="E637" s="16" t="s">
        <v>2</v>
      </c>
      <c r="F637" s="47">
        <f>F638</f>
        <v>50</v>
      </c>
      <c r="G637" s="47">
        <f t="shared" ref="G637:H637" si="310">G638</f>
        <v>50</v>
      </c>
      <c r="H637" s="47">
        <f t="shared" si="310"/>
        <v>50</v>
      </c>
      <c r="I637" s="4"/>
    </row>
    <row r="638" spans="1:9" ht="63" outlineLevel="4" x14ac:dyDescent="0.25">
      <c r="A638" s="10" t="s">
        <v>27</v>
      </c>
      <c r="B638" s="6" t="s">
        <v>567</v>
      </c>
      <c r="C638" s="6" t="s">
        <v>28</v>
      </c>
      <c r="D638" s="16" t="s">
        <v>29</v>
      </c>
      <c r="E638" s="16" t="s">
        <v>493</v>
      </c>
      <c r="F638" s="47">
        <v>50</v>
      </c>
      <c r="G638" s="47">
        <v>50</v>
      </c>
      <c r="H638" s="47">
        <v>50</v>
      </c>
      <c r="I638" s="4"/>
    </row>
    <row r="639" spans="1:9" s="7" customFormat="1" ht="31.5" x14ac:dyDescent="0.25">
      <c r="A639" s="31" t="s">
        <v>568</v>
      </c>
      <c r="B639" s="32" t="s">
        <v>569</v>
      </c>
      <c r="C639" s="32" t="s">
        <v>1</v>
      </c>
      <c r="D639" s="33" t="s">
        <v>2</v>
      </c>
      <c r="E639" s="33" t="s">
        <v>2</v>
      </c>
      <c r="F639" s="48">
        <f>F640</f>
        <v>19130.973229999996</v>
      </c>
      <c r="G639" s="48">
        <f t="shared" ref="G639:H639" si="311">G640</f>
        <v>7450.3</v>
      </c>
      <c r="H639" s="48">
        <f t="shared" si="311"/>
        <v>7450.3</v>
      </c>
      <c r="I639" s="8"/>
    </row>
    <row r="640" spans="1:9" s="13" customFormat="1" outlineLevel="1" x14ac:dyDescent="0.25">
      <c r="A640" s="28" t="s">
        <v>570</v>
      </c>
      <c r="B640" s="29" t="s">
        <v>571</v>
      </c>
      <c r="C640" s="29" t="s">
        <v>1</v>
      </c>
      <c r="D640" s="30" t="s">
        <v>2</v>
      </c>
      <c r="E640" s="30" t="s">
        <v>2</v>
      </c>
      <c r="F640" s="46">
        <f>F641+F651+F657+F659+F653+F655+F649+F645+F647</f>
        <v>19130.973229999996</v>
      </c>
      <c r="G640" s="46">
        <f t="shared" ref="G640:H640" si="312">G641+G651+G657+G659</f>
        <v>7450.3</v>
      </c>
      <c r="H640" s="46">
        <f t="shared" si="312"/>
        <v>7450.3</v>
      </c>
      <c r="I640" s="12"/>
    </row>
    <row r="641" spans="1:9" ht="47.25" outlineLevel="3" x14ac:dyDescent="0.25">
      <c r="A641" s="10" t="s">
        <v>8</v>
      </c>
      <c r="B641" s="6" t="s">
        <v>572</v>
      </c>
      <c r="C641" s="6" t="s">
        <v>1</v>
      </c>
      <c r="D641" s="16" t="s">
        <v>2</v>
      </c>
      <c r="E641" s="16" t="s">
        <v>2</v>
      </c>
      <c r="F641" s="47">
        <f>F642+F643+F644</f>
        <v>2948.8</v>
      </c>
      <c r="G641" s="47">
        <f t="shared" ref="G641:H641" si="313">G642+G643+G644</f>
        <v>2948.8</v>
      </c>
      <c r="H641" s="47">
        <f t="shared" si="313"/>
        <v>2948.8</v>
      </c>
      <c r="I641" s="4"/>
    </row>
    <row r="642" spans="1:9" ht="110.25" outlineLevel="4" x14ac:dyDescent="0.25">
      <c r="A642" s="10" t="s">
        <v>10</v>
      </c>
      <c r="B642" s="6" t="s">
        <v>572</v>
      </c>
      <c r="C642" s="6" t="s">
        <v>11</v>
      </c>
      <c r="D642" s="16" t="s">
        <v>12</v>
      </c>
      <c r="E642" s="16" t="s">
        <v>29</v>
      </c>
      <c r="F642" s="47">
        <v>2397.8000000000002</v>
      </c>
      <c r="G642" s="47">
        <v>2397.8000000000002</v>
      </c>
      <c r="H642" s="47">
        <v>2397.8000000000002</v>
      </c>
      <c r="I642" s="4"/>
    </row>
    <row r="643" spans="1:9" ht="47.25" outlineLevel="4" x14ac:dyDescent="0.25">
      <c r="A643" s="10" t="s">
        <v>15</v>
      </c>
      <c r="B643" s="6" t="s">
        <v>572</v>
      </c>
      <c r="C643" s="6" t="s">
        <v>16</v>
      </c>
      <c r="D643" s="16" t="s">
        <v>12</v>
      </c>
      <c r="E643" s="16" t="s">
        <v>29</v>
      </c>
      <c r="F643" s="47">
        <v>546</v>
      </c>
      <c r="G643" s="47">
        <v>546</v>
      </c>
      <c r="H643" s="47">
        <v>546</v>
      </c>
      <c r="I643" s="4"/>
    </row>
    <row r="644" spans="1:9" outlineLevel="4" x14ac:dyDescent="0.25">
      <c r="A644" s="10" t="s">
        <v>19</v>
      </c>
      <c r="B644" s="6" t="s">
        <v>572</v>
      </c>
      <c r="C644" s="6" t="s">
        <v>20</v>
      </c>
      <c r="D644" s="16" t="s">
        <v>12</v>
      </c>
      <c r="E644" s="16" t="s">
        <v>29</v>
      </c>
      <c r="F644" s="47">
        <v>5</v>
      </c>
      <c r="G644" s="47">
        <v>5</v>
      </c>
      <c r="H644" s="47">
        <v>5</v>
      </c>
      <c r="I644" s="4"/>
    </row>
    <row r="645" spans="1:9" ht="47.25" outlineLevel="4" x14ac:dyDescent="0.25">
      <c r="A645" s="41" t="s">
        <v>664</v>
      </c>
      <c r="B645" s="40" t="s">
        <v>665</v>
      </c>
      <c r="C645" s="6" t="s">
        <v>1</v>
      </c>
      <c r="D645" s="16" t="s">
        <v>2</v>
      </c>
      <c r="E645" s="16" t="s">
        <v>2</v>
      </c>
      <c r="F645" s="47">
        <f>F646</f>
        <v>2216.57323</v>
      </c>
      <c r="G645" s="47">
        <f t="shared" ref="G645:H645" si="314">G646</f>
        <v>0</v>
      </c>
      <c r="H645" s="47">
        <f t="shared" si="314"/>
        <v>0</v>
      </c>
      <c r="I645" s="4"/>
    </row>
    <row r="646" spans="1:9" outlineLevel="4" x14ac:dyDescent="0.25">
      <c r="A646" s="10" t="s">
        <v>19</v>
      </c>
      <c r="B646" s="16" t="s">
        <v>665</v>
      </c>
      <c r="C646" s="6">
        <v>800</v>
      </c>
      <c r="D646" s="16" t="s">
        <v>14</v>
      </c>
      <c r="E646" s="16" t="s">
        <v>12</v>
      </c>
      <c r="F646" s="47">
        <v>2216.57323</v>
      </c>
      <c r="G646" s="47">
        <v>0</v>
      </c>
      <c r="H646" s="47">
        <v>0</v>
      </c>
      <c r="I646" s="4"/>
    </row>
    <row r="647" spans="1:9" ht="20.25" hidden="1" customHeight="1" outlineLevel="4" x14ac:dyDescent="0.25">
      <c r="A647" s="41" t="s">
        <v>623</v>
      </c>
      <c r="B647" s="40" t="s">
        <v>678</v>
      </c>
      <c r="C647" s="16" t="s">
        <v>1</v>
      </c>
      <c r="D647" s="16" t="s">
        <v>2</v>
      </c>
      <c r="E647" s="16" t="s">
        <v>2</v>
      </c>
      <c r="F647" s="47">
        <f>F648</f>
        <v>0</v>
      </c>
      <c r="G647" s="47">
        <f t="shared" ref="G647:H647" si="315">G648</f>
        <v>0</v>
      </c>
      <c r="H647" s="47">
        <f t="shared" si="315"/>
        <v>0</v>
      </c>
      <c r="I647" s="4"/>
    </row>
    <row r="648" spans="1:9" hidden="1" outlineLevel="4" x14ac:dyDescent="0.25">
      <c r="A648" s="10" t="s">
        <v>19</v>
      </c>
      <c r="B648" s="16" t="s">
        <v>678</v>
      </c>
      <c r="C648" s="16" t="s">
        <v>20</v>
      </c>
      <c r="D648" s="16" t="s">
        <v>12</v>
      </c>
      <c r="E648" s="16" t="s">
        <v>13</v>
      </c>
      <c r="F648" s="47">
        <f>1215-1215</f>
        <v>0</v>
      </c>
      <c r="G648" s="47">
        <v>0</v>
      </c>
      <c r="H648" s="47">
        <v>0</v>
      </c>
      <c r="I648" s="4"/>
    </row>
    <row r="649" spans="1:9" ht="63" outlineLevel="4" x14ac:dyDescent="0.25">
      <c r="A649" s="41" t="s">
        <v>663</v>
      </c>
      <c r="B649" s="40" t="s">
        <v>662</v>
      </c>
      <c r="C649" s="16" t="s">
        <v>1</v>
      </c>
      <c r="D649" s="16" t="s">
        <v>2</v>
      </c>
      <c r="E649" s="16" t="s">
        <v>2</v>
      </c>
      <c r="F649" s="47">
        <f>F650</f>
        <v>282.60000000000002</v>
      </c>
      <c r="G649" s="47">
        <f t="shared" ref="G649:H649" si="316">G650</f>
        <v>0</v>
      </c>
      <c r="H649" s="47">
        <f t="shared" si="316"/>
        <v>0</v>
      </c>
      <c r="I649" s="4"/>
    </row>
    <row r="650" spans="1:9" ht="47.25" outlineLevel="4" x14ac:dyDescent="0.25">
      <c r="A650" s="10" t="s">
        <v>15</v>
      </c>
      <c r="B650" s="16" t="s">
        <v>662</v>
      </c>
      <c r="C650" s="16" t="s">
        <v>16</v>
      </c>
      <c r="D650" s="16" t="s">
        <v>12</v>
      </c>
      <c r="E650" s="16" t="s">
        <v>113</v>
      </c>
      <c r="F650" s="47">
        <v>282.60000000000002</v>
      </c>
      <c r="G650" s="47">
        <v>0</v>
      </c>
      <c r="H650" s="47">
        <v>0</v>
      </c>
      <c r="I650" s="4"/>
    </row>
    <row r="651" spans="1:9" ht="31.5" outlineLevel="3" x14ac:dyDescent="0.25">
      <c r="A651" s="10" t="s">
        <v>573</v>
      </c>
      <c r="B651" s="6" t="s">
        <v>574</v>
      </c>
      <c r="C651" s="6" t="s">
        <v>1</v>
      </c>
      <c r="D651" s="16" t="s">
        <v>2</v>
      </c>
      <c r="E651" s="16" t="s">
        <v>2</v>
      </c>
      <c r="F651" s="47">
        <f>F652</f>
        <v>1784.1</v>
      </c>
      <c r="G651" s="47">
        <f t="shared" ref="G651:H651" si="317">G652</f>
        <v>0</v>
      </c>
      <c r="H651" s="47">
        <f t="shared" si="317"/>
        <v>0</v>
      </c>
      <c r="I651" s="4"/>
    </row>
    <row r="652" spans="1:9" ht="47.25" outlineLevel="4" x14ac:dyDescent="0.25">
      <c r="A652" s="10" t="s">
        <v>15</v>
      </c>
      <c r="B652" s="6" t="s">
        <v>574</v>
      </c>
      <c r="C652" s="6" t="s">
        <v>16</v>
      </c>
      <c r="D652" s="16" t="s">
        <v>12</v>
      </c>
      <c r="E652" s="16" t="s">
        <v>13</v>
      </c>
      <c r="F652" s="47">
        <v>1784.1</v>
      </c>
      <c r="G652" s="47">
        <v>0</v>
      </c>
      <c r="H652" s="47">
        <v>0</v>
      </c>
      <c r="I652" s="4"/>
    </row>
    <row r="653" spans="1:9" ht="31.5" outlineLevel="4" x14ac:dyDescent="0.25">
      <c r="A653" s="10" t="s">
        <v>636</v>
      </c>
      <c r="B653" s="6">
        <v>9990060090</v>
      </c>
      <c r="C653" s="6" t="s">
        <v>1</v>
      </c>
      <c r="D653" s="16" t="s">
        <v>2</v>
      </c>
      <c r="E653" s="16" t="s">
        <v>2</v>
      </c>
      <c r="F653" s="47">
        <f>F654</f>
        <v>7397.4</v>
      </c>
      <c r="G653" s="47">
        <f t="shared" ref="G653:H653" si="318">G654</f>
        <v>0</v>
      </c>
      <c r="H653" s="47">
        <f t="shared" si="318"/>
        <v>0</v>
      </c>
      <c r="I653" s="4"/>
    </row>
    <row r="654" spans="1:9" outlineLevel="4" x14ac:dyDescent="0.25">
      <c r="A654" s="10" t="s">
        <v>19</v>
      </c>
      <c r="B654" s="6">
        <v>9990060090</v>
      </c>
      <c r="C654" s="6">
        <v>800</v>
      </c>
      <c r="D654" s="16" t="s">
        <v>14</v>
      </c>
      <c r="E654" s="16" t="s">
        <v>12</v>
      </c>
      <c r="F654" s="47">
        <v>7397.4</v>
      </c>
      <c r="G654" s="47">
        <v>0</v>
      </c>
      <c r="H654" s="47">
        <v>0</v>
      </c>
      <c r="I654" s="4"/>
    </row>
    <row r="655" spans="1:9" ht="94.5" hidden="1" outlineLevel="4" x14ac:dyDescent="0.25">
      <c r="A655" s="44" t="s">
        <v>659</v>
      </c>
      <c r="B655" s="6">
        <v>9990071910</v>
      </c>
      <c r="C655" s="6" t="s">
        <v>1</v>
      </c>
      <c r="D655" s="16" t="s">
        <v>2</v>
      </c>
      <c r="E655" s="16" t="s">
        <v>2</v>
      </c>
      <c r="F655" s="47">
        <f>F656</f>
        <v>0</v>
      </c>
      <c r="G655" s="47">
        <f t="shared" ref="G655:H655" si="319">G656</f>
        <v>0</v>
      </c>
      <c r="H655" s="47">
        <f t="shared" si="319"/>
        <v>0</v>
      </c>
      <c r="I655" s="4"/>
    </row>
    <row r="656" spans="1:9" hidden="1" outlineLevel="4" x14ac:dyDescent="0.25">
      <c r="A656" s="10" t="s">
        <v>19</v>
      </c>
      <c r="B656" s="6">
        <v>9990071910</v>
      </c>
      <c r="C656" s="6">
        <v>800</v>
      </c>
      <c r="D656" s="16" t="s">
        <v>14</v>
      </c>
      <c r="E656" s="16" t="s">
        <v>12</v>
      </c>
      <c r="F656" s="47">
        <f>2216.57323-2216.57323</f>
        <v>0</v>
      </c>
      <c r="G656" s="47">
        <v>0</v>
      </c>
      <c r="H656" s="47">
        <v>0</v>
      </c>
      <c r="I656" s="4"/>
    </row>
    <row r="657" spans="1:9" ht="31.5" outlineLevel="3" collapsed="1" x14ac:dyDescent="0.25">
      <c r="A657" s="10" t="s">
        <v>575</v>
      </c>
      <c r="B657" s="6" t="s">
        <v>576</v>
      </c>
      <c r="C657" s="6" t="s">
        <v>1</v>
      </c>
      <c r="D657" s="16" t="s">
        <v>2</v>
      </c>
      <c r="E657" s="16" t="s">
        <v>2</v>
      </c>
      <c r="F657" s="47">
        <f>F658</f>
        <v>1981.7</v>
      </c>
      <c r="G657" s="47">
        <f t="shared" ref="G657:H657" si="320">G658</f>
        <v>1981.7</v>
      </c>
      <c r="H657" s="47">
        <f t="shared" si="320"/>
        <v>1981.7</v>
      </c>
      <c r="I657" s="4"/>
    </row>
    <row r="658" spans="1:9" ht="110.25" outlineLevel="4" x14ac:dyDescent="0.25">
      <c r="A658" s="10" t="s">
        <v>10</v>
      </c>
      <c r="B658" s="6" t="s">
        <v>576</v>
      </c>
      <c r="C658" s="6" t="s">
        <v>11</v>
      </c>
      <c r="D658" s="16" t="s">
        <v>12</v>
      </c>
      <c r="E658" s="16" t="s">
        <v>29</v>
      </c>
      <c r="F658" s="47">
        <v>1981.7</v>
      </c>
      <c r="G658" s="47">
        <v>1981.7</v>
      </c>
      <c r="H658" s="47">
        <v>1981.7</v>
      </c>
      <c r="I658" s="4"/>
    </row>
    <row r="659" spans="1:9" ht="31.5" outlineLevel="3" x14ac:dyDescent="0.25">
      <c r="A659" s="10" t="s">
        <v>577</v>
      </c>
      <c r="B659" s="6" t="s">
        <v>578</v>
      </c>
      <c r="C659" s="6" t="s">
        <v>1</v>
      </c>
      <c r="D659" s="16" t="s">
        <v>2</v>
      </c>
      <c r="E659" s="16" t="s">
        <v>2</v>
      </c>
      <c r="F659" s="47">
        <f>F660</f>
        <v>2519.8000000000002</v>
      </c>
      <c r="G659" s="47">
        <f t="shared" ref="G659:H659" si="321">G660</f>
        <v>2519.8000000000002</v>
      </c>
      <c r="H659" s="47">
        <f t="shared" si="321"/>
        <v>2519.8000000000002</v>
      </c>
      <c r="I659" s="4"/>
    </row>
    <row r="660" spans="1:9" ht="110.25" outlineLevel="4" x14ac:dyDescent="0.25">
      <c r="A660" s="10" t="s">
        <v>10</v>
      </c>
      <c r="B660" s="6" t="s">
        <v>578</v>
      </c>
      <c r="C660" s="6" t="s">
        <v>11</v>
      </c>
      <c r="D660" s="16" t="s">
        <v>12</v>
      </c>
      <c r="E660" s="16" t="s">
        <v>29</v>
      </c>
      <c r="F660" s="47">
        <v>2519.8000000000002</v>
      </c>
      <c r="G660" s="47">
        <v>2519.8000000000002</v>
      </c>
      <c r="H660" s="47">
        <v>2519.8000000000002</v>
      </c>
      <c r="I660" s="4"/>
    </row>
    <row r="661" spans="1:9" s="7" customFormat="1" ht="16.899999999999999" customHeight="1" x14ac:dyDescent="0.25">
      <c r="A661" s="11" t="s">
        <v>579</v>
      </c>
      <c r="B661" s="11"/>
      <c r="C661" s="11"/>
      <c r="D661" s="17"/>
      <c r="E661" s="17"/>
      <c r="F661" s="49">
        <f>F8+F101+F110+F172+F186+F205+F359+F442+F463+F509+F568+F572+F591+F601+F618+F635+F639</f>
        <v>2986703.8739400003</v>
      </c>
      <c r="G661" s="49">
        <f t="shared" ref="G661:H661" si="322">G8+G101+G110+G172+G186+G205+G359+G442+G463+G509+G568+G572+G591+G601+G618+G635+G639</f>
        <v>2529628.5039999997</v>
      </c>
      <c r="H661" s="49">
        <f t="shared" si="322"/>
        <v>2215321.0079999999</v>
      </c>
      <c r="I661" s="8"/>
    </row>
    <row r="662" spans="1:9" ht="12.75" hidden="1" customHeight="1" x14ac:dyDescent="0.25">
      <c r="A662" s="20"/>
      <c r="B662" s="20"/>
      <c r="C662" s="20"/>
      <c r="D662" s="21"/>
      <c r="E662" s="21"/>
      <c r="F662" s="34">
        <f>2410816.608+68398.76541+510.3+1262.012-231.3+20408.2+19753.4+24535+23566+136+21551.93194+72.88+10000+7408.16+119705.2-187.7+0.004+4501+200+8140.1+19638.825+22004.3-0.025+2216.57323+5459.103+7711.66+481.74+8625.58636+2500+4994.04+1448.6-243.6+10+12453.71-3289-1463.2+80000+13296+50313</f>
        <v>2966703.8739400012</v>
      </c>
      <c r="G662" s="34">
        <f>2449975.404+1584.4-231.3+78300</f>
        <v>2529628.5040000002</v>
      </c>
      <c r="H662" s="34">
        <f>2214636.208+916.1-231.3</f>
        <v>2215321.0080000004</v>
      </c>
      <c r="I662" s="4"/>
    </row>
    <row r="663" spans="1:9" hidden="1" x14ac:dyDescent="0.25">
      <c r="A663" s="24"/>
      <c r="B663" s="24"/>
      <c r="C663" s="24"/>
      <c r="D663" s="25"/>
      <c r="E663" s="25"/>
      <c r="F663" s="35">
        <f>F662-F661</f>
        <v>-19999.999999999069</v>
      </c>
      <c r="G663" s="35">
        <f t="shared" ref="G663:H663" si="323">G662-G661</f>
        <v>0</v>
      </c>
      <c r="H663" s="35">
        <f t="shared" si="323"/>
        <v>0</v>
      </c>
      <c r="I663" s="4"/>
    </row>
    <row r="664" spans="1:9" hidden="1" x14ac:dyDescent="0.25">
      <c r="A664" s="22"/>
      <c r="B664" s="22"/>
      <c r="C664" s="22"/>
      <c r="D664" s="23"/>
      <c r="E664" s="23"/>
      <c r="F664" s="36"/>
      <c r="G664" s="36"/>
      <c r="H664" s="36"/>
    </row>
    <row r="665" spans="1:9" hidden="1" x14ac:dyDescent="0.25">
      <c r="A665" s="27" t="s">
        <v>596</v>
      </c>
      <c r="B665" s="22"/>
      <c r="C665" s="22"/>
      <c r="D665" s="23"/>
      <c r="E665" s="23"/>
      <c r="F665" s="36">
        <f>F8+F101+F110+F172+F186+F205+F359+F442+F463+F509+F568+F572+F591+F601+F618+F635</f>
        <v>2967572.9007100002</v>
      </c>
      <c r="G665" s="36">
        <f t="shared" ref="G665:H665" si="324">G8+G101+G110+G172+G186+G205+G359+G442+G463+G509+G568+G572+G591+G601+G618+G635</f>
        <v>2522178.2039999999</v>
      </c>
      <c r="H665" s="36">
        <f t="shared" si="324"/>
        <v>2207870.7080000001</v>
      </c>
    </row>
    <row r="666" spans="1:9" hidden="1" x14ac:dyDescent="0.25">
      <c r="A666" s="27" t="s">
        <v>597</v>
      </c>
      <c r="B666" s="22"/>
      <c r="C666" s="22"/>
      <c r="D666" s="23"/>
      <c r="E666" s="23"/>
      <c r="F666" s="26">
        <f>F665/F661*100</f>
        <v>99.359462001006378</v>
      </c>
      <c r="G666" s="26">
        <f t="shared" ref="G666:H666" si="325">G665/G661*100</f>
        <v>99.705478492663289</v>
      </c>
      <c r="H666" s="26">
        <f t="shared" si="325"/>
        <v>99.663692080150227</v>
      </c>
    </row>
  </sheetData>
  <mergeCells count="6">
    <mergeCell ref="A6:H6"/>
    <mergeCell ref="A1:H1"/>
    <mergeCell ref="A2:H2"/>
    <mergeCell ref="A3:H3"/>
    <mergeCell ref="A4:H4"/>
    <mergeCell ref="A5:H5"/>
  </mergeCells>
  <pageMargins left="0.55118110236220474" right="0.19685039370078741" top="0.27559055118110237" bottom="0.35433070866141736" header="0.15748031496062992" footer="0.15748031496062992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1.2021&lt;/string&gt;&#10;  &lt;/DateInfo&gt;&#10;  &lt;Code&gt;FFA93705DC8F4A1A8186ED3D4A1D50&lt;/Code&gt;&#10;  &lt;ObjectCode&gt;SQUERY_SVOD_ROSP&lt;/ObjectCode&gt;&#10;  &lt;DocName&gt;Программное приложение к бюджету (по черновику)&lt;/DocName&gt;&#10;  &lt;VariantName&gt;Программное приложение к бюджету (по черновику)&lt;/VariantName&gt;&#10;  &lt;VariantLink&gt;22601036&lt;/VariantLink&gt;&#10;  &lt;SvodReportLink xsi:nil=&quot;true&quot; /&gt;&#10;  &lt;ReportLink&gt;126924&lt;/ReportLink&gt;&#10;  &lt;Note&gt;01.01.2021 - 02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9922C25-1DEF-4147-B8EF-2D74FF3EB3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Тарасова Ольга Владимировна</cp:lastModifiedBy>
  <cp:lastPrinted>2021-10-06T13:42:13Z</cp:lastPrinted>
  <dcterms:created xsi:type="dcterms:W3CDTF">2020-11-13T15:04:37Z</dcterms:created>
  <dcterms:modified xsi:type="dcterms:W3CDTF">2021-10-29T06:27:31Z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Программное приложение к бюджету (по черновику)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20.1.1944.93581546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b_d_2021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Программное приложение к бюджету (по черновику)</vt:lpwstr>
  </property>
  <property fmtid="{D5CDD505-2E9C-101B-9397-08002B2CF9AE}" pid="11" name="Код отчета">
    <vt:lpwstr>FFA93705DC8F4A1A8186ED3D4A1D50</vt:lpwstr>
  </property>
  <property fmtid="{D5CDD505-2E9C-101B-9397-08002B2CF9AE}" pid="12" name="Локальная база">
    <vt:lpwstr>не используется</vt:lpwstr>
  </property>
</Properties>
</file>